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Bfq3arPaR9lySjlludl9oXVn5OH8IqaEHoxYjvgbfjgocKcMCSCiB3ly888e1HwYK+TGsSCYcWnVdj2/nJJrhA==" workbookSaltValue="tB/J3g6WgLpguaPJuzHT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F11" i="11" s="1"/>
  <c r="AQ11" i="11" s="1"/>
  <c r="W12" i="11"/>
  <c r="W15" i="11"/>
  <c r="Y15" i="11" s="1"/>
  <c r="W16" i="11"/>
  <c r="W17" i="11"/>
  <c r="Y17" i="11" s="1"/>
  <c r="I15" i="2"/>
  <c r="I16" i="2"/>
  <c r="I17" i="2"/>
  <c r="G15" i="2"/>
  <c r="G16" i="2"/>
  <c r="AO16" i="11" s="1"/>
  <c r="G17" i="2"/>
  <c r="C17" i="6" s="1"/>
  <c r="E15" i="2"/>
  <c r="E16" i="2"/>
  <c r="E17" i="2"/>
  <c r="C16" i="2"/>
  <c r="D16" i="2" s="1"/>
  <c r="C17" i="2"/>
  <c r="D17" i="2" s="1"/>
  <c r="I9" i="2"/>
  <c r="I10" i="2"/>
  <c r="I11" i="2"/>
  <c r="I12" i="2"/>
  <c r="L12" i="14" s="1"/>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Z13" i="13"/>
  <c r="AM19" i="8"/>
  <c r="AP13" i="17"/>
  <c r="BF17" i="8"/>
  <c r="AB19" i="19"/>
  <c r="BF9" i="13"/>
  <c r="E18" i="12"/>
  <c r="ER19" i="8"/>
  <c r="EL19" i="8"/>
  <c r="AC11" i="11"/>
  <c r="EQ19" i="8"/>
  <c r="AP12" i="11"/>
  <c r="Y11" i="11"/>
  <c r="AT18" i="17"/>
  <c r="AL10" i="11"/>
  <c r="N10" i="11"/>
  <c r="N9" i="11"/>
  <c r="T10" i="21"/>
  <c r="E15" i="6"/>
  <c r="F10" i="10"/>
  <c r="D11" i="2"/>
  <c r="ES19" i="8"/>
  <c r="C18" i="7"/>
  <c r="S19" i="13"/>
  <c r="AG19" i="19"/>
  <c r="F9" i="11"/>
  <c r="CI19" i="8"/>
  <c r="AE19" i="8"/>
  <c r="F17" i="16"/>
  <c r="BL17" i="16" s="1"/>
  <c r="EP19" i="8"/>
  <c r="ER19" i="13"/>
  <c r="AL13" i="16"/>
  <c r="BL9" i="11"/>
  <c r="P17" i="17"/>
  <c r="BK9" i="11"/>
  <c r="S13" i="16"/>
  <c r="H18" i="16"/>
  <c r="P13" i="16"/>
  <c r="AN13" i="20"/>
  <c r="F15" i="17"/>
  <c r="Z13" i="17"/>
  <c r="M13" i="2"/>
  <c r="AO12" i="11"/>
  <c r="B12" i="6"/>
  <c r="AC10" i="11"/>
  <c r="H13" i="12"/>
  <c r="T19" i="8"/>
  <c r="T13" i="12"/>
  <c r="BM12" i="11"/>
  <c r="BJ15" i="11"/>
  <c r="R17" i="20"/>
  <c r="R18" i="20" s="1"/>
  <c r="AZ15" i="11"/>
  <c r="AZ18" i="11" s="1"/>
  <c r="BV12" i="16"/>
  <c r="U10" i="17"/>
  <c r="AA16" i="16"/>
  <c r="T16" i="11"/>
  <c r="BI9" i="11"/>
  <c r="BH11" i="11"/>
  <c r="BH12" i="16"/>
  <c r="S19" i="8"/>
  <c r="BF15" i="8"/>
  <c r="AY13" i="8"/>
  <c r="BD12" i="8"/>
  <c r="H12" i="7" s="1"/>
  <c r="BG15" i="8"/>
  <c r="BE9" i="8"/>
  <c r="BA13" i="8"/>
  <c r="AV18" i="17"/>
  <c r="J18" i="17"/>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R20" i="20"/>
  <c r="AV20" i="20"/>
  <c r="AO20" i="20"/>
  <c r="Z20" i="20"/>
  <c r="O16" i="11"/>
  <c r="T20" i="20"/>
  <c r="I20" i="20"/>
  <c r="AD20" i="20"/>
  <c r="M20" i="20"/>
  <c r="W20" i="21"/>
  <c r="W20" i="20"/>
  <c r="AI20" i="20"/>
  <c r="AG20" i="20"/>
  <c r="AU20" i="20"/>
  <c r="Y20" i="20"/>
  <c r="O20" i="20"/>
  <c r="AH20" i="20"/>
  <c r="Q20" i="20"/>
  <c r="H20" i="20"/>
  <c r="N20" i="20"/>
  <c r="U12" i="11"/>
  <c r="T20" i="21"/>
  <c r="AX20" i="20"/>
  <c r="X20" i="20"/>
  <c r="BI17" i="16" l="1"/>
  <c r="B17" i="6"/>
  <c r="BD17" i="8"/>
  <c r="AY18" i="8"/>
  <c r="AJ19" i="8"/>
  <c r="AW18" i="21"/>
  <c r="AH13" i="16"/>
  <c r="C11" i="6"/>
  <c r="AB19" i="8"/>
  <c r="BD9" i="8"/>
  <c r="B9" i="6"/>
  <c r="AO12" i="17"/>
  <c r="F9" i="2"/>
  <c r="E11" i="6"/>
  <c r="E9" i="6"/>
  <c r="B16" i="6"/>
  <c r="AO9" i="11"/>
  <c r="AL11" i="11"/>
  <c r="H12" i="2"/>
  <c r="M18" i="2"/>
  <c r="N18" i="2"/>
  <c r="BF11" i="8"/>
  <c r="BF9" i="8"/>
  <c r="J9" i="7" s="1"/>
  <c r="C10" i="6"/>
  <c r="BF16" i="13"/>
  <c r="BE16" i="13"/>
  <c r="AO17" i="11"/>
  <c r="BD15" i="8"/>
  <c r="H15" i="7" s="1"/>
  <c r="BE15" i="8"/>
  <c r="BG16" i="8"/>
  <c r="E18" i="2"/>
  <c r="F18" i="2" s="1"/>
  <c r="AL15" i="11"/>
  <c r="L16" i="14"/>
  <c r="F15" i="11"/>
  <c r="F16" i="17"/>
  <c r="BB13" i="13"/>
  <c r="D11" i="12"/>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P16" i="11" s="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U9" i="17"/>
  <c r="U19" i="17" s="1"/>
  <c r="BK10" i="11"/>
  <c r="BM9" i="11"/>
  <c r="Q9" i="11" s="1"/>
  <c r="BG16" i="11"/>
  <c r="BK16" i="11"/>
  <c r="AQ10" i="21"/>
  <c r="BH10" i="11"/>
  <c r="BG12" i="11"/>
  <c r="S11" i="14"/>
  <c r="V11" i="14" s="1"/>
  <c r="AA15" i="16"/>
  <c r="BU12" i="17"/>
  <c r="BW10" i="20"/>
  <c r="BW11" i="20"/>
  <c r="BW21" i="20" s="1"/>
  <c r="BW12" i="20"/>
  <c r="BU10" i="17"/>
  <c r="BU11" i="17"/>
  <c r="AP17" i="20"/>
  <c r="BK17" i="11"/>
  <c r="BG15" i="11"/>
  <c r="BJ12" i="11"/>
  <c r="AO16" i="17"/>
  <c r="BH9" i="11"/>
  <c r="AP10" i="21"/>
  <c r="BK11" i="11"/>
  <c r="V12" i="21"/>
  <c r="V13" i="21" s="1"/>
  <c r="V19" i="21" s="1"/>
  <c r="R12" i="14"/>
  <c r="R13" i="14" s="1"/>
  <c r="BF10" i="11"/>
  <c r="BL17" i="11"/>
  <c r="BM16" i="11"/>
  <c r="BH17" i="16"/>
  <c r="BH11" i="16"/>
  <c r="T9" i="1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0" i="2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I15" i="7"/>
  <c r="AO15" i="11"/>
  <c r="C16" i="6"/>
  <c r="BI16" i="16"/>
  <c r="H17" i="7"/>
  <c r="AN11" i="11"/>
  <c r="D9" i="6"/>
  <c r="J9" i="12" s="1"/>
  <c r="I12" i="7"/>
  <c r="C9" i="6"/>
  <c r="I9" i="12" s="1"/>
  <c r="P18" i="17"/>
  <c r="P19" i="17"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AI19" i="11"/>
  <c r="I15" i="12"/>
  <c r="B19" i="7"/>
  <c r="D19" i="12"/>
  <c r="I10" i="12"/>
  <c r="K9" i="12"/>
  <c r="D19" i="5"/>
  <c r="B18" i="6"/>
  <c r="X19" i="21"/>
  <c r="BK13" i="11"/>
  <c r="G21" i="11"/>
  <c r="BE13" i="13"/>
  <c r="F18" i="11"/>
  <c r="C18" i="6"/>
  <c r="K16" i="12"/>
  <c r="AM13" i="11"/>
  <c r="Y13" i="11"/>
  <c r="I11" i="12"/>
  <c r="BI18" i="11"/>
  <c r="P9" i="11"/>
  <c r="P17" i="11"/>
  <c r="Q16" i="11"/>
  <c r="BL18" i="11"/>
  <c r="BF18" i="11"/>
  <c r="BU21" i="17"/>
  <c r="P15" i="11"/>
  <c r="BH13" i="11"/>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R20" i="11"/>
  <c r="AR20" i="20"/>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H20" i="21"/>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<sst xmlns="http://schemas.openxmlformats.org/spreadsheetml/2006/main" count="2088" uniqueCount="918">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</sst>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UTp4DTU30eO00gOuU0hOBufNo4J+Ftd6xfZuoA/+y+8qJXEvvYVZbpjwULY6Uh3hGUsM4uE8yIHHvqpMnLWag==" saltValue="l/724C310dm0Qkl8LW/C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30.692796610169488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114</v>
      </c>
      <c r="D10" s="224">
        <f>IF(ISNUMBER(Datos!I10),Datos!I10," - ")</f>
        <v>114</v>
      </c>
      <c r="E10" s="225">
        <f>IF(ISNUMBER(Datos!J10),Datos!J10," - ")</f>
        <v>40</v>
      </c>
      <c r="F10" s="225">
        <f>IF(ISNUMBER(Datos!K10),Datos!K10," - ")</f>
        <v>36</v>
      </c>
      <c r="G10" s="1033" t="str">
        <f>IF(Datos!E10&lt;&gt;"",Datos!E10,Datos!D10)</f>
        <v>37</v>
      </c>
      <c r="H10" s="226">
        <f>IF(ISNUMBER(Datos!L10),Datos!L10," - ")</f>
        <v>118</v>
      </c>
      <c r="I10" s="1043" t="str">
        <f>IF(ISNUMBER(Datos!AS10/Datos!BM10),Datos!AS10/Datos!BM10," - ")</f>
        <v xml:space="preserve"> - </v>
      </c>
      <c r="J10" s="1044">
        <f>IF(ISNUMBER(Datos!BY10/Datos!CN10),Datos!BY10/Datos!CN10," - ")</f>
        <v>0</v>
      </c>
      <c r="K10" s="229">
        <f t="shared" ref="K10:K12" si="1">IF(ISNUMBER((E10-F10)/C10),(E10-F10)/C10," - ")</f>
        <v>3.5087719298245612E-2</v>
      </c>
      <c r="L10" s="1024">
        <f>IF(ISNUMBER(NºAsuntos!I10/NºAsuntos!G10),(NºAsuntos!I10/NºAsuntos!G10)*11," - ")</f>
        <v>36.055555555555557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21.885217391304348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114</v>
      </c>
      <c r="D13" s="1048">
        <f>SUBTOTAL(9,D9:D12)</f>
        <v>114</v>
      </c>
      <c r="E13" s="1049">
        <f>SUBTOTAL(9,E9:E12)</f>
        <v>40</v>
      </c>
      <c r="F13" s="1050">
        <f>SUBTOTAL(9,F9:F12)</f>
        <v>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5327</v>
      </c>
      <c r="D15" s="224">
        <f>IF(ISNUMBER(IF(D_I="SI",Datos!I15,Datos!I15+Datos!AC15)),IF(D_I="SI",Datos!I15,Datos!I15+Datos!AC15)," - ")</f>
        <v>5296</v>
      </c>
      <c r="E15" s="225">
        <f>IF(ISNUMBER(IF(D_I="SI",Datos!J15,Datos!J15+Datos!AD15)),IF(D_I="SI",Datos!J15,Datos!J15+Datos!AD15)," - ")</f>
        <v>3731</v>
      </c>
      <c r="F15" s="225">
        <f>IF(ISNUMBER(IF(D_I="SI",Datos!K15,Datos!K15+Datos!AE15)),IF(D_I="SI",Datos!K15,Datos!K15+Datos!AE15)," - ")</f>
        <v>3721</v>
      </c>
      <c r="G15" s="1033" t="str">
        <f>IF(Datos!E15&lt;&gt;"",Datos!E15,Datos!D15)</f>
        <v>03</v>
      </c>
      <c r="H15" s="226">
        <f>IF(ISNUMBER(IF(D_I="SI",Datos!L15,Datos!L15+Datos!AF15)),IF(D_I="SI",Datos!L15,Datos!L15+Datos!AF15)," - ")</f>
        <v>5337</v>
      </c>
      <c r="I15" s="1043" t="str">
        <f>IF(ISNUMBER(Datos!AS15/Datos!BM15),Datos!AS15/Datos!BM15," - ")</f>
        <v xml:space="preserve"> - </v>
      </c>
      <c r="J15" s="1044">
        <f>IF(ISNUMBER(Datos!BY15/Datos!CN15),Datos!BY15/Datos!CN15," - ")</f>
        <v>0</v>
      </c>
      <c r="K15" s="229">
        <f t="shared" ref="K15:K17" si="3">IF(ISNUMBER((E15-F15)/C15),(E15-F15)/C15," - ")</f>
        <v>1.8772292096865028E-3</v>
      </c>
      <c r="L15" s="1024">
        <f>IF(ISNUMBER(NºAsuntos!I15/NºAsuntos!G15),(NºAsuntos!I15/NºAsuntos!G15)*11," - ")</f>
        <v>15.777210427304489</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596</v>
      </c>
      <c r="D17" s="224">
        <f>IF(ISNUMBER(IF(D_I="SI",Datos!I17,Datos!I17+Datos!AC17)),IF(D_I="SI",Datos!I17,Datos!I17+Datos!AC17)," - ")</f>
        <v>596</v>
      </c>
      <c r="E17" s="225">
        <f>IF(ISNUMBER(IF(D_I="SI",Datos!J17,Datos!J17+Datos!AD17)),IF(D_I="SI",Datos!J17,Datos!J17+Datos!AD17)," - ")</f>
        <v>246</v>
      </c>
      <c r="F17" s="225">
        <f>IF(ISNUMBER(IF(D_I="SI",Datos!K17,Datos!K17+Datos!AE17)),IF(D_I="SI",Datos!K17,Datos!K17+Datos!AE17)," - ")</f>
        <v>140</v>
      </c>
      <c r="G17" s="1033" t="str">
        <f>IF(Datos!E17&lt;&gt;"",Datos!E17,Datos!D17)</f>
        <v>37</v>
      </c>
      <c r="H17" s="226">
        <f>IF(ISNUMBER(IF(D_I="SI",Datos!L17,Datos!L17+Datos!AF17)),IF(D_I="SI",Datos!L17,Datos!L17+Datos!AF17)," - ")</f>
        <v>702</v>
      </c>
      <c r="I17" s="1043" t="str">
        <f>IF(ISNUMBER(Datos!AS17/Datos!BM17),Datos!AS17/Datos!BM17," - ")</f>
        <v xml:space="preserve"> - </v>
      </c>
      <c r="J17" s="1044" t="str">
        <f>IF(ISNUMBER((Datos!BY17+Datos!BZ17)/Datos!CN17),(Datos!BY17+Datos!BZ17)/Datos!CN17," - ")</f>
        <v xml:space="preserve"> - </v>
      </c>
      <c r="K17" s="229">
        <f t="shared" si="3"/>
        <v>0.17785234899328858</v>
      </c>
      <c r="L17" s="1024">
        <f>IF(ISNUMBER(NºAsuntos!I17/NºAsuntos!G17),(NºAsuntos!I17/NºAsuntos!G17)*11," - ")</f>
        <v>55.157142857142858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5923</v>
      </c>
      <c r="D18" s="1048">
        <f>SUBTOTAL(9,D15:D17)</f>
        <v>5892</v>
      </c>
      <c r="E18" s="1049">
        <f>SUBTOTAL(9,E15:E17)</f>
        <v>3977</v>
      </c>
      <c r="F18" s="1049">
        <f>SUBTOTAL(9,F15:F17)</f>
        <v>3861</v>
      </c>
      <c r="G18" s="1051" t="str">
        <f ca="1">INDIRECT(CONCATENATE("G",ROW()-1))</f>
        <v>37</v>
      </c>
      <c r="H18" s="1052">
        <f ca="1">SUMIF(G$14:G17,G18,H$14:H17)</f>
        <v>702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6037</v>
      </c>
      <c r="D19" s="1070">
        <f>SUBTOTAL(9,D9:D18)</f>
        <v>6006</v>
      </c>
      <c r="E19" s="1071">
        <f>SUBTOTAL(9,E9:E18)</f>
        <v>4017</v>
      </c>
      <c r="F19" s="1071">
        <f>SUBTOTAL(9,F9:F18)</f>
        <v>3897</v>
      </c>
      <c r="G19" s="1072"/>
      <c r="H19" s="1073">
        <f ca="1">SUMIF(B9:B18,"TOTAL",H9:H18)</f>
        <v>702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NefVY1SUuVvjo/8isn0RA++LjraVbZLsHcniUS8DKCryXSwHCUYtN1YAvhRKLO89uwUFsj8OnKqMwitLKRh9g==" saltValue="MRDlfDt/opZjfpLM3WrC2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VBByTFB9h9Mny8Uao4Ch7IJejomaRMMs0L2ETwHWUWUlIRPQhwugvf5eqp98Z4CGOCJxn6WmZXciMPpMO/5eQ==" saltValue="MlgPHI71kMJ+sjM1HvKO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8257</v>
      </c>
      <c r="J9" s="180">
        <v>2128</v>
      </c>
      <c r="K9" s="180">
        <v>2642</v>
      </c>
      <c r="L9" s="180">
        <v>7752</v>
      </c>
      <c r="M9" s="180">
        <v>712</v>
      </c>
      <c r="N9" s="180">
        <v>1425</v>
      </c>
      <c r="O9" s="180">
        <v>1390</v>
      </c>
      <c r="P9" s="180">
        <v>2230</v>
      </c>
      <c r="Q9" s="180">
        <v>2317</v>
      </c>
      <c r="R9" s="180">
        <v>13941</v>
      </c>
      <c r="S9" s="180">
        <v>7050</v>
      </c>
      <c r="T9" s="180">
        <v>3085</v>
      </c>
      <c r="U9" s="180">
        <v>2992</v>
      </c>
      <c r="V9" s="180">
        <v>8162</v>
      </c>
      <c r="W9" s="180">
        <v>815</v>
      </c>
      <c r="X9" s="187">
        <v>1290</v>
      </c>
      <c r="Y9" s="190">
        <v>148</v>
      </c>
      <c r="Z9" s="180">
        <v>192</v>
      </c>
      <c r="AA9" s="180">
        <v>190</v>
      </c>
      <c r="AB9" s="180">
        <v>150</v>
      </c>
      <c r="AC9" s="180">
        <v>0</v>
      </c>
      <c r="AD9" s="180">
        <v>0</v>
      </c>
      <c r="AE9" s="180">
        <v>0</v>
      </c>
      <c r="AF9" s="187">
        <v>0</v>
      </c>
      <c r="AG9" s="190">
        <v>94</v>
      </c>
      <c r="AH9" s="180">
        <v>61</v>
      </c>
      <c r="AI9" s="180">
        <v>65</v>
      </c>
      <c r="AJ9" s="191">
        <v>90</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7144</v>
      </c>
      <c r="AZ9" s="123">
        <f>IF(ISNUMBER(IF(J_V="SI",T9,T9+AH9)),IF(J_V="SI",T9,T9+AH9)," - ")</f>
        <v>3146</v>
      </c>
      <c r="BA9" s="124">
        <f>IF(ISNUMBER(IF(J_V="SI",U9,U9+AI9)),IF(J_V="SI",U9,U9+AI9)," - ")</f>
        <v>3057</v>
      </c>
      <c r="BB9" s="124">
        <f>IF(ISNUMBER(IF(J_V="SI",V9,V9+AJ9)),IF(J_V="SI",V9,V9+AJ9)," - ")</f>
        <v>8252</v>
      </c>
      <c r="BC9" s="125">
        <f>IF(ISNUMBER(X9),X9," - ")</f>
        <v>1290</v>
      </c>
      <c r="BD9" s="126">
        <f>IF(ISNUMBER(BA9/AZ9),BA9/AZ9," - ")</f>
        <v>0.97171010807374447</v>
      </c>
      <c r="BE9" s="127">
        <f>IF(ISNUMBER(BB9/BA9),BB9/BA9, " - ")</f>
        <v>2.6993784756297021</v>
      </c>
      <c r="BF9" s="127">
        <f>IF(ISNUMBER(BC9/BA9),BC9/BA9, " - ")</f>
        <v>0.42198233562315995</v>
      </c>
      <c r="BG9" s="195">
        <f>IF(ISNUMBER((AY9+AZ9)/BA9),(AY9+AZ9)/BA9," - ")</f>
        <v>3.3660451422963691</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114</v>
      </c>
      <c r="J10" s="180">
        <v>40</v>
      </c>
      <c r="K10" s="180">
        <v>36</v>
      </c>
      <c r="L10" s="180">
        <v>118</v>
      </c>
      <c r="M10" s="180">
        <v>13</v>
      </c>
      <c r="N10" s="180">
        <v>5</v>
      </c>
      <c r="O10" s="180">
        <v>1</v>
      </c>
      <c r="P10" s="180">
        <v>13</v>
      </c>
      <c r="Q10" s="180">
        <v>39</v>
      </c>
      <c r="R10" s="180">
        <v>163</v>
      </c>
      <c r="S10" s="180">
        <v>96</v>
      </c>
      <c r="T10" s="180">
        <v>65</v>
      </c>
      <c r="U10" s="180">
        <v>56</v>
      </c>
      <c r="V10" s="180">
        <v>105</v>
      </c>
      <c r="W10" s="180">
        <v>5</v>
      </c>
      <c r="X10" s="187">
        <v>22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96</v>
      </c>
      <c r="AZ10" s="129">
        <f t="shared" si="0"/>
        <v>65</v>
      </c>
      <c r="BA10" s="129">
        <f t="shared" si="0"/>
        <v>56</v>
      </c>
      <c r="BB10" s="129">
        <f t="shared" si="0"/>
        <v>105</v>
      </c>
      <c r="BC10" s="125">
        <f t="shared" si="0"/>
        <v>5</v>
      </c>
      <c r="BD10" s="126">
        <f>IF(ISNUMBER(BA10/AZ10),BA10/AZ10," - ")</f>
        <v>0.86153846153846159</v>
      </c>
      <c r="BE10" s="127">
        <f>IF(ISNUMBER(BB10/BA10),BB10/BA10, " - ")</f>
        <v>1.875</v>
      </c>
      <c r="BF10" s="127">
        <f>IF(ISNUMBER(BC10/BA10),BC10/BA10, " - ")</f>
        <v>8.9285714285714288E-2</v>
      </c>
      <c r="BG10" s="195">
        <f>IF(ISNUMBER((AY10+AZ10)/BA10),(AY10+AZ10)/BA10," - ")</f>
        <v>2.875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1084</v>
      </c>
      <c r="J11" s="182">
        <v>432</v>
      </c>
      <c r="K11" s="182">
        <v>436</v>
      </c>
      <c r="L11" s="182">
        <v>1082</v>
      </c>
      <c r="M11" s="182">
        <v>170</v>
      </c>
      <c r="N11" s="182">
        <v>283</v>
      </c>
      <c r="O11" s="180">
        <v>242</v>
      </c>
      <c r="P11" s="182">
        <v>84</v>
      </c>
      <c r="Q11" s="182">
        <v>217</v>
      </c>
      <c r="R11" s="182">
        <v>1104</v>
      </c>
      <c r="S11" s="182">
        <v>1194</v>
      </c>
      <c r="T11" s="182">
        <v>489</v>
      </c>
      <c r="U11" s="182">
        <v>559</v>
      </c>
      <c r="V11" s="182">
        <v>1124</v>
      </c>
      <c r="W11" s="182">
        <v>235</v>
      </c>
      <c r="X11" s="188">
        <v>282</v>
      </c>
      <c r="Y11" s="190">
        <v>51</v>
      </c>
      <c r="Z11" s="180">
        <v>150</v>
      </c>
      <c r="AA11" s="180">
        <v>139</v>
      </c>
      <c r="AB11" s="180">
        <v>62</v>
      </c>
      <c r="AC11" s="182">
        <v>0</v>
      </c>
      <c r="AD11" s="182">
        <v>0</v>
      </c>
      <c r="AE11" s="182">
        <v>0</v>
      </c>
      <c r="AF11" s="188">
        <v>0</v>
      </c>
      <c r="AG11" s="201">
        <v>56</v>
      </c>
      <c r="AH11" s="182">
        <v>130</v>
      </c>
      <c r="AI11" s="182">
        <v>142</v>
      </c>
      <c r="AJ11" s="202">
        <v>44</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1250</v>
      </c>
      <c r="AZ11" s="127">
        <f t="shared" si="1"/>
        <v>619</v>
      </c>
      <c r="BA11" s="127">
        <f t="shared" si="1"/>
        <v>701</v>
      </c>
      <c r="BB11" s="127">
        <f t="shared" si="1"/>
        <v>1168</v>
      </c>
      <c r="BC11" s="125">
        <f>IF(ISNUMBER(X11),X11," - ")</f>
        <v>282</v>
      </c>
      <c r="BD11" s="126">
        <f t="shared" ref="BD11:BD12" si="2">IF(ISNUMBER(BA11/AZ11),BA11/AZ11," - ")</f>
        <v>1.1324717285945072</v>
      </c>
      <c r="BE11" s="127">
        <f t="shared" ref="BE11:BE12" si="3">IF(ISNUMBER(BB11/BA11),BB11/BA11, " - ")</f>
        <v>1.666191155492154</v>
      </c>
      <c r="BF11" s="127">
        <f t="shared" ref="BF11:BF12" si="4">IF(ISNUMBER(BC11/BA11),BC11/BA11, " - ")</f>
        <v>0.40228245363766046</v>
      </c>
      <c r="BG11" s="195">
        <f t="shared" ref="BG11:BG12" si="5">IF(ISNUMBER((AY11+AZ11)/BA11),(AY11+AZ11)/BA11," - ")</f>
        <v>2.6661911554921542</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9455</v>
      </c>
      <c r="J13" s="183">
        <f t="shared" si="6"/>
        <v>2600</v>
      </c>
      <c r="K13" s="183">
        <f t="shared" si="6"/>
        <v>3114</v>
      </c>
      <c r="L13" s="183">
        <f t="shared" si="6"/>
        <v>8952</v>
      </c>
      <c r="M13" s="183">
        <f t="shared" si="6"/>
        <v>895</v>
      </c>
      <c r="N13" s="183">
        <f t="shared" si="6"/>
        <v>1713</v>
      </c>
      <c r="O13" s="183">
        <f t="shared" si="6"/>
        <v>1633</v>
      </c>
      <c r="P13" s="183">
        <f t="shared" si="6"/>
        <v>2327</v>
      </c>
      <c r="Q13" s="183">
        <f t="shared" si="6"/>
        <v>2573</v>
      </c>
      <c r="R13" s="183">
        <f t="shared" si="6"/>
        <v>15208</v>
      </c>
      <c r="S13" s="183">
        <f t="shared" si="6"/>
        <v>8340</v>
      </c>
      <c r="T13" s="183">
        <f t="shared" si="6"/>
        <v>3639</v>
      </c>
      <c r="U13" s="183">
        <f t="shared" si="6"/>
        <v>3607</v>
      </c>
      <c r="V13" s="183">
        <f t="shared" si="6"/>
        <v>9391</v>
      </c>
      <c r="W13" s="183">
        <f t="shared" si="6"/>
        <v>1055</v>
      </c>
      <c r="X13" s="183">
        <f t="shared" si="6"/>
        <v>1594</v>
      </c>
      <c r="Y13" s="183">
        <f t="shared" si="6"/>
        <v>199</v>
      </c>
      <c r="Z13" s="183">
        <f t="shared" si="6"/>
        <v>342</v>
      </c>
      <c r="AA13" s="183">
        <f t="shared" si="6"/>
        <v>329</v>
      </c>
      <c r="AB13" s="183">
        <f t="shared" si="6"/>
        <v>212</v>
      </c>
      <c r="AC13" s="183">
        <f t="shared" si="6"/>
        <v>0</v>
      </c>
      <c r="AD13" s="183">
        <f t="shared" si="6"/>
        <v>0</v>
      </c>
      <c r="AE13" s="183">
        <f t="shared" si="6"/>
        <v>0</v>
      </c>
      <c r="AF13" s="183">
        <f>SUBTOTAL(9,AF9:AF12)</f>
        <v>0</v>
      </c>
      <c r="AG13" s="183">
        <f t="shared" ref="AG13:AT13" si="7">SUBTOTAL(9,AG8:AG12)</f>
        <v>150</v>
      </c>
      <c r="AH13" s="183">
        <f t="shared" si="7"/>
        <v>191</v>
      </c>
      <c r="AI13" s="183">
        <f t="shared" si="7"/>
        <v>207</v>
      </c>
      <c r="AJ13" s="183">
        <f t="shared" si="7"/>
        <v>134</v>
      </c>
      <c r="AK13" s="183">
        <f t="shared" si="7"/>
        <v>0</v>
      </c>
      <c r="AL13" s="183">
        <f t="shared" si="7"/>
        <v>0</v>
      </c>
      <c r="AM13" s="183">
        <f t="shared" si="7"/>
        <v>0</v>
      </c>
      <c r="AN13" s="183">
        <f t="shared" si="7"/>
        <v>0</v>
      </c>
      <c r="AO13" s="183">
        <f t="shared" si="7"/>
        <v>11</v>
      </c>
      <c r="AP13" s="183">
        <f t="shared" si="7"/>
        <v>10</v>
      </c>
      <c r="AQ13" s="183">
        <f t="shared" si="7"/>
        <v>10</v>
      </c>
      <c r="AR13" s="183">
        <f t="shared" si="7"/>
        <v>10</v>
      </c>
      <c r="AS13" s="183">
        <f t="shared" si="7"/>
        <v>0</v>
      </c>
      <c r="AT13" s="183">
        <f t="shared" si="7"/>
        <v>0</v>
      </c>
      <c r="AU13" s="203"/>
      <c r="AV13" s="132"/>
      <c r="AW13" s="203"/>
      <c r="AX13" s="132"/>
      <c r="AY13" s="183">
        <f>SUBTOTAL(9,AY8:AY12)</f>
        <v>8490</v>
      </c>
      <c r="AZ13" s="183">
        <f>SUBTOTAL(9,AZ8:AZ12)</f>
        <v>3830</v>
      </c>
      <c r="BA13" s="183">
        <f>SUBTOTAL(9,BA8:BA12)</f>
        <v>3814</v>
      </c>
      <c r="BB13" s="183">
        <f>SUBTOTAL(9,BB8:BB12)</f>
        <v>9525</v>
      </c>
      <c r="BC13" s="183">
        <f>SUBTOTAL(9,BC8:BC12)</f>
        <v>1577</v>
      </c>
      <c r="BD13" s="204">
        <f>IF(ISNUMBER(BA13/AZ13),BA13/AZ13," - ")</f>
        <v>0.99582245430809402</v>
      </c>
      <c r="BE13" s="205">
        <f>IF(ISNUMBER(BB13/BA13),BB13/BA13, " - ")</f>
        <v>2.4973780807551127</v>
      </c>
      <c r="BF13" s="205">
        <f>IF(ISNUMBER(BC13/BA13),BC13/BA13, " - ")</f>
        <v>0.41347666491872048</v>
      </c>
      <c r="BG13" s="206">
        <f>IF(ISNUMBER((AY13+AZ13)/BA13),(AY13+AZ13)/BA13," - ")</f>
        <v>3.2302045097011014</v>
      </c>
      <c r="BH13" s="139">
        <f>SUBTOTAL(9,BH8:BH12)</f>
        <v>11</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5296</v>
      </c>
      <c r="J15" s="182">
        <v>3731</v>
      </c>
      <c r="K15" s="182">
        <v>3721</v>
      </c>
      <c r="L15" s="182">
        <v>5337</v>
      </c>
      <c r="M15" s="182">
        <v>497</v>
      </c>
      <c r="N15" s="182">
        <v>1901</v>
      </c>
      <c r="O15" s="180">
        <v>65</v>
      </c>
      <c r="P15" s="182">
        <v>118</v>
      </c>
      <c r="Q15" s="182">
        <v>116</v>
      </c>
      <c r="R15" s="182">
        <v>446</v>
      </c>
      <c r="S15" s="182">
        <v>4804</v>
      </c>
      <c r="T15" s="182">
        <v>2936</v>
      </c>
      <c r="U15" s="182">
        <v>2782</v>
      </c>
      <c r="V15" s="182">
        <v>5000</v>
      </c>
      <c r="W15" s="182">
        <v>409</v>
      </c>
      <c r="X15" s="188">
        <v>1439</v>
      </c>
      <c r="Y15" s="201">
        <v>0</v>
      </c>
      <c r="Z15" s="182">
        <v>0</v>
      </c>
      <c r="AA15" s="182">
        <v>0</v>
      </c>
      <c r="AB15" s="182">
        <v>0</v>
      </c>
      <c r="AC15" s="182">
        <v>30</v>
      </c>
      <c r="AD15" s="182">
        <v>366</v>
      </c>
      <c r="AE15" s="182">
        <v>382</v>
      </c>
      <c r="AF15" s="188">
        <v>14</v>
      </c>
      <c r="AG15" s="201">
        <v>0</v>
      </c>
      <c r="AH15" s="182">
        <v>0</v>
      </c>
      <c r="AI15" s="182">
        <v>0</v>
      </c>
      <c r="AJ15" s="202">
        <v>0</v>
      </c>
      <c r="AK15" s="181">
        <v>19</v>
      </c>
      <c r="AL15" s="182">
        <v>328</v>
      </c>
      <c r="AM15" s="182">
        <v>331</v>
      </c>
      <c r="AN15" s="188">
        <v>16</v>
      </c>
      <c r="AO15" s="258">
        <v>5</v>
      </c>
      <c r="AP15" s="154">
        <v>5</v>
      </c>
      <c r="AQ15" s="154">
        <v>5</v>
      </c>
      <c r="AR15" s="154">
        <v>5</v>
      </c>
      <c r="AS15" s="339" t="s">
        <v>522</v>
      </c>
      <c r="AT15" s="202" t="s">
        <v>326</v>
      </c>
      <c r="AU15" s="201"/>
      <c r="AV15" s="202"/>
      <c r="AW15" s="201"/>
      <c r="AX15" s="202"/>
      <c r="AY15" s="128">
        <f t="shared" ref="AY15:BB16" si="9">IF(ISNUMBER(IF(D_I="SI",S15,S15+AK15)),IF(D_I="SI",S15,S15+AK15)," - ")</f>
        <v>4804</v>
      </c>
      <c r="AZ15" s="129">
        <f t="shared" si="9"/>
        <v>2936</v>
      </c>
      <c r="BA15" s="129">
        <f t="shared" si="9"/>
        <v>2782</v>
      </c>
      <c r="BB15" s="129">
        <f t="shared" si="9"/>
        <v>5000</v>
      </c>
      <c r="BC15" s="125">
        <f>IF(ISNUMBER(W15),W15," - ")</f>
        <v>409</v>
      </c>
      <c r="BD15" s="126">
        <f>IF(ISNUMBER(BA15/AZ15),BA15/AZ15," - ")</f>
        <v>0.9475476839237057</v>
      </c>
      <c r="BE15" s="127">
        <f>IF(ISNUMBER(BB15/BA15),BB15/BA15, " - ")</f>
        <v>1.7972681524083394</v>
      </c>
      <c r="BF15" s="127">
        <f>IF(ISNUMBER(BC15/BA15),BC15/BA15, " - ")</f>
        <v>0.14701653486700217</v>
      </c>
      <c r="BG15" s="195">
        <f t="shared" ref="BG15:BG16" si="10">IF(ISNUMBER((AY15+AZ15)/BA15),(AY15+AZ15)/BA15," - ")</f>
        <v>2.7821710999281093</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596</v>
      </c>
      <c r="J17" s="182">
        <v>246</v>
      </c>
      <c r="K17" s="182">
        <v>140</v>
      </c>
      <c r="L17" s="182">
        <v>702</v>
      </c>
      <c r="M17" s="182">
        <v>22</v>
      </c>
      <c r="N17" s="182">
        <v>36</v>
      </c>
      <c r="O17" s="182">
        <v>0</v>
      </c>
      <c r="P17" s="182">
        <v>0</v>
      </c>
      <c r="Q17" s="182">
        <v>0</v>
      </c>
      <c r="R17" s="182">
        <v>0</v>
      </c>
      <c r="S17" s="182">
        <v>434</v>
      </c>
      <c r="T17" s="182">
        <v>238</v>
      </c>
      <c r="U17" s="182">
        <v>205</v>
      </c>
      <c r="V17" s="182">
        <v>467</v>
      </c>
      <c r="W17" s="182">
        <v>12</v>
      </c>
      <c r="X17" s="188">
        <v>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434</v>
      </c>
      <c r="AZ17" s="129">
        <f t="shared" si="14"/>
        <v>238</v>
      </c>
      <c r="BA17" s="129">
        <f t="shared" si="14"/>
        <v>205</v>
      </c>
      <c r="BB17" s="129">
        <f t="shared" si="14"/>
        <v>467</v>
      </c>
      <c r="BC17" s="125">
        <f>IF(ISNUMBER(W17),W17," - ")</f>
        <v>12</v>
      </c>
      <c r="BD17" s="126">
        <f>IF(ISNUMBER(BA17/AZ17),BA17/AZ17," - ")</f>
        <v>0.8613445378151261</v>
      </c>
      <c r="BE17" s="127">
        <f>IF(ISNUMBER(BB17/BA17),BB17/BA17, " - ")</f>
        <v>2.2780487804878047</v>
      </c>
      <c r="BF17" s="127">
        <f>IF(ISNUMBER(BC17/BA17),BC17/BA17, " - ")</f>
        <v>5.8536585365853662E-2</v>
      </c>
      <c r="BG17" s="195">
        <f>IF(ISNUMBER((AY17+AZ17)/BA17),(AY17+AZ17)/BA17," - ")</f>
        <v>3.2780487804878047</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5892</v>
      </c>
      <c r="J18" s="183">
        <f t="shared" si="15"/>
        <v>3977</v>
      </c>
      <c r="K18" s="183">
        <f t="shared" si="15"/>
        <v>3861</v>
      </c>
      <c r="L18" s="183">
        <f t="shared" si="15"/>
        <v>6039</v>
      </c>
      <c r="M18" s="183">
        <f t="shared" si="15"/>
        <v>519</v>
      </c>
      <c r="N18" s="183">
        <f t="shared" si="15"/>
        <v>1937</v>
      </c>
      <c r="O18" s="183">
        <f t="shared" si="15"/>
        <v>65</v>
      </c>
      <c r="P18" s="183">
        <f t="shared" si="15"/>
        <v>118</v>
      </c>
      <c r="Q18" s="183">
        <f t="shared" si="15"/>
        <v>116</v>
      </c>
      <c r="R18" s="183">
        <f t="shared" si="15"/>
        <v>446</v>
      </c>
      <c r="S18" s="183">
        <f t="shared" si="15"/>
        <v>5238</v>
      </c>
      <c r="T18" s="183">
        <f t="shared" si="15"/>
        <v>3174</v>
      </c>
      <c r="U18" s="183">
        <f t="shared" si="15"/>
        <v>2987</v>
      </c>
      <c r="V18" s="183">
        <f t="shared" si="15"/>
        <v>5467</v>
      </c>
      <c r="W18" s="183">
        <f t="shared" si="15"/>
        <v>421</v>
      </c>
      <c r="X18" s="183">
        <f t="shared" si="15"/>
        <v>1527</v>
      </c>
      <c r="Y18" s="183">
        <f t="shared" si="15"/>
        <v>0</v>
      </c>
      <c r="Z18" s="183">
        <f t="shared" si="15"/>
        <v>0</v>
      </c>
      <c r="AA18" s="183">
        <f t="shared" si="15"/>
        <v>0</v>
      </c>
      <c r="AB18" s="183">
        <f t="shared" si="15"/>
        <v>0</v>
      </c>
      <c r="AC18" s="183">
        <f t="shared" si="15"/>
        <v>30</v>
      </c>
      <c r="AD18" s="183">
        <f t="shared" si="15"/>
        <v>366</v>
      </c>
      <c r="AE18" s="183">
        <f t="shared" si="15"/>
        <v>382</v>
      </c>
      <c r="AF18" s="183">
        <f t="shared" si="15"/>
        <v>14</v>
      </c>
      <c r="AG18" s="183">
        <f t="shared" si="15"/>
        <v>0</v>
      </c>
      <c r="AH18" s="183">
        <f t="shared" si="15"/>
        <v>0</v>
      </c>
      <c r="AI18" s="183">
        <f t="shared" si="15"/>
        <v>0</v>
      </c>
      <c r="AJ18" s="183">
        <f t="shared" si="15"/>
        <v>0</v>
      </c>
      <c r="AK18" s="183">
        <f t="shared" si="15"/>
        <v>19</v>
      </c>
      <c r="AL18" s="183">
        <f t="shared" si="15"/>
        <v>328</v>
      </c>
      <c r="AM18" s="183">
        <f t="shared" si="15"/>
        <v>331</v>
      </c>
      <c r="AN18" s="183">
        <f t="shared" si="15"/>
        <v>16</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5238</v>
      </c>
      <c r="AZ18" s="183">
        <f>SUBTOTAL(9,AZ14:AZ17)</f>
        <v>3174</v>
      </c>
      <c r="BA18" s="183">
        <f>SUBTOTAL(9,BA14:BA17)</f>
        <v>2987</v>
      </c>
      <c r="BB18" s="183">
        <f>SUBTOTAL(9,BB14:BB17)</f>
        <v>5467</v>
      </c>
      <c r="BC18" s="183">
        <f>SUBTOTAL(9,BC14:BC17)</f>
        <v>421</v>
      </c>
      <c r="BD18" s="204">
        <f>IF(ISNUMBER(BA18/AZ18),BA18/AZ18," - ")</f>
        <v>0.94108380592312535</v>
      </c>
      <c r="BE18" s="205">
        <f>IF(ISNUMBER(BB18/BA18),BB18/BA18, " - ")</f>
        <v>1.8302644794107801</v>
      </c>
      <c r="BF18" s="205">
        <f>IF(ISNUMBER(BC18/BA18),BC18/BA18, " - ")</f>
        <v>0.14094409106126549</v>
      </c>
      <c r="BG18" s="206">
        <f>IF(ISNUMBER((AY18+AZ18)/BA18),(AY18+AZ18)/BA18," - ")</f>
        <v>2.8162035487110813</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15347</v>
      </c>
      <c r="J19" s="134">
        <f t="shared" si="18"/>
        <v>6577</v>
      </c>
      <c r="K19" s="134">
        <f t="shared" si="18"/>
        <v>6975</v>
      </c>
      <c r="L19" s="134">
        <f t="shared" si="18"/>
        <v>14991</v>
      </c>
      <c r="M19" s="134">
        <f t="shared" si="18"/>
        <v>1414</v>
      </c>
      <c r="N19" s="134">
        <f t="shared" si="18"/>
        <v>3650</v>
      </c>
      <c r="O19" s="134">
        <f t="shared" si="18"/>
        <v>1698</v>
      </c>
      <c r="P19" s="134">
        <f t="shared" si="18"/>
        <v>2445</v>
      </c>
      <c r="Q19" s="134">
        <f t="shared" si="18"/>
        <v>2689</v>
      </c>
      <c r="R19" s="134">
        <f t="shared" si="18"/>
        <v>15654</v>
      </c>
      <c r="S19" s="134">
        <f t="shared" si="18"/>
        <v>13578</v>
      </c>
      <c r="T19" s="134">
        <f t="shared" si="18"/>
        <v>6813</v>
      </c>
      <c r="U19" s="134">
        <f t="shared" si="18"/>
        <v>6594</v>
      </c>
      <c r="V19" s="134">
        <f t="shared" si="18"/>
        <v>14858</v>
      </c>
      <c r="W19" s="134">
        <f t="shared" si="18"/>
        <v>1476</v>
      </c>
      <c r="X19" s="134">
        <f t="shared" si="18"/>
        <v>3121</v>
      </c>
      <c r="Y19" s="134">
        <f t="shared" si="18"/>
        <v>199</v>
      </c>
      <c r="Z19" s="134">
        <f t="shared" si="18"/>
        <v>342</v>
      </c>
      <c r="AA19" s="134">
        <f t="shared" si="18"/>
        <v>329</v>
      </c>
      <c r="AB19" s="134">
        <f t="shared" si="18"/>
        <v>212</v>
      </c>
      <c r="AC19" s="134">
        <f t="shared" si="18"/>
        <v>30</v>
      </c>
      <c r="AD19" s="134">
        <f t="shared" si="18"/>
        <v>366</v>
      </c>
      <c r="AE19" s="134">
        <f t="shared" si="18"/>
        <v>382</v>
      </c>
      <c r="AF19" s="134">
        <f t="shared" si="18"/>
        <v>14</v>
      </c>
      <c r="AG19" s="134">
        <f t="shared" si="18"/>
        <v>150</v>
      </c>
      <c r="AH19" s="134">
        <f t="shared" si="18"/>
        <v>191</v>
      </c>
      <c r="AI19" s="134">
        <f t="shared" si="18"/>
        <v>207</v>
      </c>
      <c r="AJ19" s="134">
        <f t="shared" si="18"/>
        <v>134</v>
      </c>
      <c r="AK19" s="134">
        <f t="shared" si="18"/>
        <v>19</v>
      </c>
      <c r="AL19" s="134">
        <f t="shared" si="18"/>
        <v>328</v>
      </c>
      <c r="AM19" s="134">
        <f t="shared" si="18"/>
        <v>331</v>
      </c>
      <c r="AN19" s="209">
        <f t="shared" si="18"/>
        <v>16</v>
      </c>
      <c r="AO19" s="210">
        <v>16</v>
      </c>
      <c r="AP19" s="210">
        <v>15</v>
      </c>
      <c r="AQ19" s="210">
        <v>15</v>
      </c>
      <c r="AR19" s="210">
        <v>15</v>
      </c>
      <c r="AS19" s="152">
        <f t="shared" si="18"/>
        <v>0</v>
      </c>
      <c r="AT19" s="152">
        <f t="shared" si="18"/>
        <v>0</v>
      </c>
      <c r="AU19" s="210"/>
      <c r="AV19" s="211"/>
      <c r="AW19" s="210"/>
      <c r="AX19" s="211"/>
      <c r="AY19" s="133">
        <f>SUBTOTAL(9,AY9:AY18)</f>
        <v>13728</v>
      </c>
      <c r="AZ19" s="134">
        <f>SUBTOTAL(9,AZ9:AZ18)</f>
        <v>7004</v>
      </c>
      <c r="BA19" s="134">
        <f>SUBTOTAL(9,BA9:BA18)</f>
        <v>6801</v>
      </c>
      <c r="BB19" s="134">
        <f>SUBTOTAL(9,BB9:BB18)</f>
        <v>14992</v>
      </c>
      <c r="BC19" s="135">
        <f>SUBTOTAL(9,BC9:BC18)</f>
        <v>1998</v>
      </c>
      <c r="BD19" s="212">
        <f>IF(ISNUMBER(BA19/AZ19),BA19/AZ19," - ")</f>
        <v>0.97101656196459163</v>
      </c>
      <c r="BE19" s="209">
        <f>IF(ISNUMBER(BB19/BA19),BB19/BA19, " - ")</f>
        <v>2.204381708572269</v>
      </c>
      <c r="BF19" s="209">
        <f>IF(ISNUMBER(BC19/BA19),BC19/BA19, " - ")</f>
        <v>0.29378032642258489</v>
      </c>
      <c r="BG19" s="135">
        <f>IF(ISNUMBER((AY19+AZ19)/BA19),(AY19+AZ19)/BA19," - ")</f>
        <v>3.0483752389354506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L5KENrY365fT2x8AdX4E4I77RdwK/Lg0osiZ8Jit3IQZ6FvRaifxzunkIrS5BlUDP2rN8YdFXChhAtCRuyy4A==" saltValue="Ih4/0k/vw2nLQmdicZa9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hsFaUmgXdV3mw15NlfBaGXzcCiwVZ6RGshmtMpl+CBEYv+3NhsrKGsD9LJX4sGbTiwb7Tn5D4qLtQ6y5dvxXg==" saltValue="mWCtt2XSqAeXlFl9GSpj1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MATARO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192</v>
      </c>
      <c r="O9" s="333"/>
      <c r="P9" s="333"/>
      <c r="Q9" s="225">
        <f>IF(ISNUMBER(Datos!P9),Datos!P9,0)</f>
        <v>2230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2317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150</v>
      </c>
      <c r="AI9" s="333" t="str">
        <f>IF(ISNUMBER(Datos!CD9),Datos!CD9,"-")</f>
        <v>-</v>
      </c>
      <c r="AJ9" s="333" t="str">
        <f>IF(ISNUMBER(Datos!EN9),Datos!EN9," - ")</f>
        <v xml:space="preserve"> - </v>
      </c>
      <c r="AK9" s="333"/>
      <c r="AL9" s="478"/>
      <c r="AM9" s="334">
        <f>IF(ISNUMBER(Datos!R9),Datos!R9," - ")</f>
        <v>13941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712</v>
      </c>
      <c r="BD9" s="228">
        <f>IF(ISNUMBER(Datos!N9),Datos!N9," - ")</f>
        <v>1425</v>
      </c>
      <c r="BE9" s="228" t="str">
        <f>IF(ISNUMBER(Datos!BW9),Datos!BW9," - ")</f>
        <v xml:space="preserve"> - </v>
      </c>
      <c r="BF9" s="227" t="str">
        <f>IF(ISNUMBER(Datos!BX9),Datos!BX9," - ")</f>
        <v xml:space="preserve"> - </v>
      </c>
      <c r="BG9" s="242">
        <f>IF(ISNUMBER(IF(J_V="SI",Datos!K9/Datos!J9,(Datos!K9+Datos!AA9)/(Datos!J9+Datos!Z9))),IF(J_V="SI",Datos!K9/Datos!J9,(Datos!K9+Datos!AA9)/(Datos!J9+Datos!Z9))," - ")</f>
        <v>1.2206896551724138</v>
      </c>
      <c r="BH9" s="259">
        <f>IF(ISNUMBER(((IF(J_V="SI",Datos!L9/Datos!K9,(Datos!L9+Datos!AB9)/(Datos!K9+Datos!AA9)))*11)/factor_trimestre),((IF(J_V="SI",Datos!L9/Datos!K9,(Datos!L9+Datos!AB9)/(Datos!K9+Datos!AA9)))*11)/factor_trimestre," - ")</f>
        <v>8.3707627118644066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-6.2018819503849446E-3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114</v>
      </c>
      <c r="G10" s="332">
        <f>IF(ISNUMBER(Datos!I10),Datos!I10," - ")</f>
        <v>114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36</v>
      </c>
      <c r="AC10" s="225">
        <f>IF(ISNUMBER(Datos!Q10),Datos!Q10," - ")</f>
        <v>39</v>
      </c>
      <c r="AD10" s="333"/>
      <c r="AE10" s="483"/>
      <c r="AF10" s="331">
        <f>IF(ISNUMBER(Datos!L10),Datos!L10,"-")</f>
        <v>118</v>
      </c>
      <c r="AG10" s="333"/>
      <c r="AH10" s="333"/>
      <c r="AI10" s="333"/>
      <c r="AJ10" s="333"/>
      <c r="AK10" s="333"/>
      <c r="AL10" s="478"/>
      <c r="AM10" s="334">
        <f>IF(ISNUMBER(Datos!R10),Datos!R10," - ")</f>
        <v>163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5</v>
      </c>
      <c r="BE10" s="228" t="str">
        <f>IF(ISNUMBER(Datos!BW10),Datos!BW10," - ")</f>
        <v xml:space="preserve"> - </v>
      </c>
      <c r="BF10" s="227" t="str">
        <f>IF(ISNUMBER(Datos!BX10),Datos!BX10," - ")</f>
        <v xml:space="preserve"> - </v>
      </c>
      <c r="BG10" s="242">
        <f>IF(ISNUMBER(Datos!K10/Datos!J10),Datos!K10/Datos!J10," - ")</f>
        <v>0.9</v>
      </c>
      <c r="BH10" s="259">
        <f>IF(ISNUMBER(((Datos!L10/Datos!K10)*11)/factor_trimestre),((Datos!L10/Datos!K10)*11)/factor_trimestre," - ")</f>
        <v>9.8333333333333339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-0.13756613756613756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150</v>
      </c>
      <c r="O11" s="333"/>
      <c r="P11" s="333"/>
      <c r="Q11" s="225">
        <f>IF(ISNUMBER(Datos!P11),Datos!P11,0)</f>
        <v>84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217</v>
      </c>
      <c r="AD11" s="333"/>
      <c r="AE11" s="483"/>
      <c r="AF11" s="331" t="str">
        <f>IF(ISNUMBER(IF(J_V="SI",Datos!L11,Datos!L11+Datos!AB11)-IF(Monitorios="SI",Datos!CD11,0)),
                          IF(J_V="SI",Datos!L11,Datos!L11+Datos!AB11)-IF(Monitorios="SI",Datos!CD11,0),
                          " - ")</f>
        <v xml:space="preserve"> - </v>
      </c>
      <c r="AG11" s="333"/>
      <c r="AH11" s="333">
        <f>IF(ISNUMBER(Datos!AB11),Datos!AB11,"-")</f>
        <v>62</v>
      </c>
      <c r="AI11" s="333"/>
      <c r="AJ11" s="333"/>
      <c r="AK11" s="333"/>
      <c r="AL11" s="478"/>
      <c r="AM11" s="334">
        <f>IF(ISNUMBER(Datos!R11),Datos!R11," - ")</f>
        <v>1104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170</v>
      </c>
      <c r="BD11" s="228">
        <f>IF(ISNUMBER(Datos!N11),Datos!N11," - ")</f>
        <v>283</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0.98797250859106533</v>
      </c>
      <c r="BH11" s="259">
        <f>IF(ISNUMBER(((IF(J_V="SI",Datos!L11/Datos!K11,(Datos!L11+Datos!AB11)/(Datos!K11+Datos!AA11)))*11)/factor_trimestre),((IF(J_V="SI",Datos!L11/Datos!K11,(Datos!L11+Datos!AB11)/(Datos!K11+Datos!AA11)))*11)/factor_trimestre," - ")</f>
        <v>5.9686956521739134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-0.10751818916734034</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10</v>
      </c>
      <c r="F13" s="897">
        <f t="shared" si="0"/>
        <v>114</v>
      </c>
      <c r="G13" s="897">
        <f t="shared" si="0"/>
        <v>114</v>
      </c>
      <c r="H13" s="898">
        <f t="shared" si="0"/>
        <v>0</v>
      </c>
      <c r="I13" s="897">
        <f t="shared" si="0"/>
        <v>0</v>
      </c>
      <c r="J13" s="866">
        <f t="shared" si="0"/>
        <v>0</v>
      </c>
      <c r="K13" s="866">
        <f t="shared" si="0"/>
        <v>0</v>
      </c>
      <c r="L13" s="898">
        <f t="shared" si="0"/>
        <v>0</v>
      </c>
      <c r="M13" s="898">
        <f t="shared" si="0"/>
        <v>0</v>
      </c>
      <c r="N13" s="898">
        <f t="shared" si="0"/>
        <v>342</v>
      </c>
      <c r="O13" s="899">
        <f t="shared" si="0"/>
        <v>0</v>
      </c>
      <c r="P13" s="899">
        <f t="shared" si="0"/>
        <v>0</v>
      </c>
      <c r="Q13" s="898">
        <f t="shared" si="0"/>
        <v>2327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36</v>
      </c>
      <c r="AC13" s="898">
        <f t="shared" si="1"/>
        <v>2573</v>
      </c>
      <c r="AD13" s="898">
        <f t="shared" si="1"/>
        <v>0</v>
      </c>
      <c r="AE13" s="898">
        <f t="shared" si="1"/>
        <v>0</v>
      </c>
      <c r="AF13" s="898">
        <f t="shared" si="1"/>
        <v>118</v>
      </c>
      <c r="AG13" s="898">
        <f t="shared" si="1"/>
        <v>0</v>
      </c>
      <c r="AH13" s="898">
        <f t="shared" si="1"/>
        <v>212</v>
      </c>
      <c r="AI13" s="898">
        <f t="shared" si="1"/>
        <v>0</v>
      </c>
      <c r="AJ13" s="898">
        <f t="shared" si="1"/>
        <v>0</v>
      </c>
      <c r="AK13" s="898">
        <f t="shared" si="1"/>
        <v>0</v>
      </c>
      <c r="AL13" s="898">
        <f t="shared" si="1"/>
        <v>0</v>
      </c>
      <c r="AM13" s="898">
        <f t="shared" si="1"/>
        <v>15208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895</v>
      </c>
      <c r="BD13" s="898">
        <f t="shared" si="1"/>
        <v>1713</v>
      </c>
      <c r="BE13" s="898">
        <f t="shared" si="1"/>
        <v>0</v>
      </c>
      <c r="BF13" s="898">
        <f t="shared" si="1"/>
        <v>0</v>
      </c>
      <c r="BG13" s="898">
        <f>IF(ISNUMBER(Datos!K13/Datos!J13),Datos!K13/Datos!J13," - ")</f>
        <v>1.1976923076923076</v>
      </c>
      <c r="BH13" s="902">
        <f>IF(ISNUMBER(((Datos!L13/Datos!K13)*11)/factor_trimestre),((Datos!L13/Datos!K13)*11)/factor_trimestre," - ")</f>
        <v>8.6242774566473983</v>
      </c>
      <c r="BI13" s="898">
        <f>IF(ISNUMBER('Resol  Asuntos'!D13/NºAsuntos!G13),'Resol  Asuntos'!D13/NºAsuntos!G13," - ")</f>
        <v>0.25994772001161776</v>
      </c>
      <c r="BJ13" s="898" t="str">
        <f>IF(ISNUMBER(Datos!CI13/Datos!CJ13),Datos!CI13/Datos!CJ13," - ")</f>
        <v xml:space="preserve"> - </v>
      </c>
      <c r="BK13" s="898">
        <f>SUBTOTAL(9,BK8:BK12)</f>
        <v>0</v>
      </c>
      <c r="BL13" s="898">
        <f>IF(ISNUMBER((I13-AB13+L13)/(F13)),(I13-AB13+L13)/(F13)," - ")</f>
        <v>-0.31578947368421051</v>
      </c>
      <c r="BM13" s="903">
        <f>SUBTOTAL(9,BM9:BM12)</f>
        <v>-0.25128620868386287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5327</v>
      </c>
      <c r="G15" s="597">
        <f>IF(ISNUMBER(IF(D_I="SI",Datos!I15,Datos!I15+Datos!AC15)),IF(D_I="SI",Datos!I15,Datos!I15+Datos!AC15)," - ")</f>
        <v>5296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118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3721</v>
      </c>
      <c r="AC15" s="225">
        <f>IF(ISNUMBER(Datos!Q15),Datos!Q15," - ")</f>
        <v>116</v>
      </c>
      <c r="AD15" s="333"/>
      <c r="AE15" s="483"/>
      <c r="AF15" s="595">
        <f>IF(ISNUMBER(IF(D_I="SI",Datos!L15,Datos!L15+Datos!AF15)),IF(D_I="SI",Datos!L15,Datos!L15+Datos!AF15)," - ")</f>
        <v>5337</v>
      </c>
      <c r="AG15" s="333"/>
      <c r="AH15" s="333"/>
      <c r="AI15" s="333"/>
      <c r="AJ15" s="333"/>
      <c r="AK15" s="333"/>
      <c r="AL15" s="478"/>
      <c r="AM15" s="334">
        <f>IF(ISNUMBER(Datos!R15),Datos!R15," - ")</f>
        <v>446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497</v>
      </c>
      <c r="BD15" s="228">
        <f>IF(ISNUMBER(Datos!N15),Datos!N15," - ")</f>
        <v>1901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0.99731975341731438</v>
      </c>
      <c r="BH15" s="259">
        <f>IF(ISNUMBER(((IF(D_I="SI",Datos!L15/Datos!K15,(Datos!L15+Datos!AF15)/(Datos!K15+Datos!AE15)))*11)/factor_trimestre),((IF(D_I="SI",Datos!L15/Datos!K15,(Datos!L15+Datos!AF15)/(Datos!K15+Datos!AE15)))*11)/factor_trimestre," - ")</f>
        <v>4.3028755710830424</v>
      </c>
      <c r="BI15" s="242">
        <f>IF(ISNUMBER('Resol  Asuntos'!D15/NºAsuntos!G15),'Resol  Asuntos'!D15/NºAsuntos!G15," - ")</f>
        <v>0.13356624563289438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596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140</v>
      </c>
      <c r="AC17" s="225">
        <f>IF(ISNUMBER(Datos!Q17),Datos!Q17," - ")</f>
        <v>0</v>
      </c>
      <c r="AD17" s="333"/>
      <c r="AE17" s="483"/>
      <c r="AF17" s="331">
        <f>IF(ISNUMBER(Datos!L17),Datos!L17,"-")</f>
        <v>702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0.56910569105691056</v>
      </c>
      <c r="BH17" s="259">
        <f>IF(ISNUMBER(((IF(D_I="SI",Datos!L17/Datos!K17,(Datos!L17+Datos!AF17)/(Datos!K17+Datos!AE17)))*11)/factor_trimestre),((IF(D_I="SI",Datos!L17/Datos!K17,(Datos!L17+Datos!AF17)/(Datos!K17+Datos!AE17)))*11)/factor_trimestre," - ")</f>
        <v>15.042857142857144</v>
      </c>
      <c r="BI17" s="242">
        <f>IF(ISNUMBER('Resol  Asuntos'!D17/NºAsuntos!G17),'Resol  Asuntos'!D17/NºAsuntos!G17," - ")</f>
        <v>0.15714285714285714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5327</v>
      </c>
      <c r="G18" s="897">
        <f>SUBTOTAL(9,G15:G17)</f>
        <v>5892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3861</v>
      </c>
      <c r="AC18" s="898">
        <f t="shared" si="4"/>
        <v>116</v>
      </c>
      <c r="AD18" s="898">
        <f t="shared" si="4"/>
        <v>0</v>
      </c>
      <c r="AE18" s="898">
        <f t="shared" si="4"/>
        <v>0</v>
      </c>
      <c r="AF18" s="898">
        <f t="shared" si="4"/>
        <v>6039</v>
      </c>
      <c r="AG18" s="898">
        <f t="shared" si="4"/>
        <v>0</v>
      </c>
      <c r="AH18" s="898">
        <f t="shared" si="4"/>
        <v>0</v>
      </c>
      <c r="AI18" s="898">
        <f t="shared" si="4"/>
        <v>0</v>
      </c>
      <c r="AJ18" s="898">
        <f t="shared" si="4"/>
        <v>0</v>
      </c>
      <c r="AK18" s="898">
        <f t="shared" si="4"/>
        <v>0</v>
      </c>
      <c r="AL18" s="898">
        <f t="shared" si="4"/>
        <v>0</v>
      </c>
      <c r="AM18" s="898">
        <f t="shared" si="4"/>
        <v>446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519</v>
      </c>
      <c r="BD18" s="898">
        <f t="shared" si="4"/>
        <v>1937</v>
      </c>
      <c r="BE18" s="898">
        <f t="shared" si="4"/>
        <v>0</v>
      </c>
      <c r="BF18" s="898">
        <f t="shared" si="4"/>
        <v>0</v>
      </c>
      <c r="BG18" s="898">
        <f>IF(ISNUMBER(Datos!K18/Datos!J18),Datos!K18/Datos!J18," - ")</f>
        <v>0.97083228564244406</v>
      </c>
      <c r="BH18" s="902">
        <f>IF(ISNUMBER(((Datos!L18/Datos!K18)*11)/factor_trimestre),((Datos!L18/Datos!K18)*11)/factor_trimestre," - ")</f>
        <v>4.6923076923076925</v>
      </c>
      <c r="BI18" s="898">
        <f>SUBTOTAL(9,BI15:BI17)</f>
        <v>0.29070910277575152</v>
      </c>
      <c r="BJ18" s="898">
        <f>SUBTOTAL(9,BJ15:BJ17)</f>
        <v>0</v>
      </c>
      <c r="BK18" s="898">
        <f>SUBTOTAL(9,BK15:BK17)</f>
        <v>0</v>
      </c>
      <c r="BL18" s="898">
        <f>IF(ISNUMBER((I18-AB18+L18)/(F18)),(I18-AB18+L18)/(F18)," - ")</f>
        <v>-0.72479819785995869</v>
      </c>
      <c r="BM18" s="904">
        <f>IF(ISNUMBER((Datos!P18-Datos!Q18)/(Datos!R18-Datos!P18+Datos!Q18)),(Datos!P18-Datos!Q18)/(Datos!R18-Datos!P18+Datos!Q18)," - ")</f>
        <v>4.5045045045045045E-3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5441</v>
      </c>
      <c r="G19" s="819">
        <f t="shared" si="6"/>
        <v>6006</v>
      </c>
      <c r="H19" s="821">
        <f t="shared" si="6"/>
        <v>0</v>
      </c>
      <c r="I19" s="819">
        <f t="shared" si="6"/>
        <v>0</v>
      </c>
      <c r="J19" s="821">
        <f t="shared" si="6"/>
        <v>0</v>
      </c>
      <c r="K19" s="821">
        <f t="shared" si="6"/>
        <v>0</v>
      </c>
      <c r="L19" s="880">
        <f t="shared" si="6"/>
        <v>0</v>
      </c>
      <c r="M19" s="880">
        <f t="shared" si="6"/>
        <v>0</v>
      </c>
      <c r="N19" s="880">
        <f t="shared" si="6"/>
        <v>342</v>
      </c>
      <c r="O19" s="880">
        <f t="shared" si="6"/>
        <v>0</v>
      </c>
      <c r="P19" s="880">
        <f t="shared" si="6"/>
        <v>0</v>
      </c>
      <c r="Q19" s="821">
        <f t="shared" si="6"/>
        <v>2445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3897</v>
      </c>
      <c r="AC19" s="820">
        <f t="shared" si="7"/>
        <v>2689</v>
      </c>
      <c r="AD19" s="820">
        <f t="shared" si="7"/>
        <v>0</v>
      </c>
      <c r="AE19" s="820">
        <f t="shared" si="7"/>
        <v>0</v>
      </c>
      <c r="AF19" s="827">
        <f t="shared" si="7"/>
        <v>6157</v>
      </c>
      <c r="AG19" s="827">
        <f t="shared" si="7"/>
        <v>0</v>
      </c>
      <c r="AH19" s="827">
        <f t="shared" si="7"/>
        <v>212</v>
      </c>
      <c r="AI19" s="827">
        <f t="shared" si="7"/>
        <v>0</v>
      </c>
      <c r="AJ19" s="820">
        <f t="shared" si="7"/>
        <v>0</v>
      </c>
      <c r="AK19" s="827">
        <f t="shared" si="7"/>
        <v>0</v>
      </c>
      <c r="AL19" s="827">
        <f t="shared" si="7"/>
        <v>0</v>
      </c>
      <c r="AM19" s="827">
        <f t="shared" si="7"/>
        <v>15654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1414</v>
      </c>
      <c r="BD19" s="819">
        <f t="shared" si="7"/>
        <v>3650</v>
      </c>
      <c r="BE19" s="819">
        <f t="shared" si="7"/>
        <v>0</v>
      </c>
      <c r="BF19" s="829">
        <f t="shared" si="7"/>
        <v>0</v>
      </c>
      <c r="BG19" s="914">
        <f>IF(ISNUMBER(Datos!K19/Datos!J19),Datos!K19/Datos!J19," - ")</f>
        <v>1.060513912117987</v>
      </c>
      <c r="BH19" s="914">
        <f>IF(ISNUMBER(((Datos!L19/Datos!K19)*11)/factor_trimestre),((Datos!L19/Datos!K19)*11)/factor_trimestre," - ")</f>
        <v>6.4477419354838723</v>
      </c>
      <c r="BI19" s="812">
        <f>IF(ISNUMBER(Datos!J19/Datos!I19),Datos!J19/Datos!I19," - ")</f>
        <v>0.42855281162442171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-0.71622863444219809</v>
      </c>
      <c r="BM19" s="888">
        <f>IF(ISNUMBER((Datos!P19-Datos!Q19+R19)/(Datos!R19-Datos!P19+Datos!Q19-R19)),(Datos!P19-Datos!Q19+R19)/(Datos!R19-Datos!P19+Datos!Q19-R19)," - ")</f>
        <v>-1.5347842495911436E-2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2402.4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3.5746017649212027</v>
      </c>
      <c r="F21" s="550">
        <f>IF(ISNUMBER(STDEV(F8:F18)),STDEV(F8:F18),"-")</f>
        <v>3009.7269532855194</v>
      </c>
      <c r="G21" s="551">
        <f>IF(ISNUMBER(STDEV(G8:G18)),STDEV(G8:G18),"-")</f>
        <v>2927.7491012721703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2038.7537124429718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344.3302678146859</v>
      </c>
      <c r="BD21" s="550"/>
      <c r="BE21" s="550">
        <f>IF(ISNUMBER(STDEV(BE8:BE18)),STDEV(BE8:BE18),"-")</f>
        <v>0</v>
      </c>
      <c r="BF21" s="555">
        <f>IF(ISNUMBER(STDEV(BF8:BF18)),STDEV(BF8:BF18),"-")</f>
        <v>0</v>
      </c>
      <c r="BG21" s="774">
        <f>IF(ISNUMBER(STDEV(BG8:BG18)),STDEV(BG8:BG18),"-")</f>
        <v>0.21639654960670338</v>
      </c>
      <c r="BH21" s="775">
        <f>IF(ISNUMBER(STDEV(BH8:BH18)),STDEV(BH8:BH18),"-")</f>
        <v>3.6996905335639894</v>
      </c>
      <c r="BI21" s="248">
        <f>IF(ISNUMBER(STDEV(BI8:BI18)),STDEV(BI8:BI18),"-")</f>
        <v>7.6690425140596374E-2</v>
      </c>
      <c r="BJ21" s="229" t="str">
        <f>IF(ISNUMBER(BL21/BM21),BL21/BM21," - ")</f>
        <v xml:space="preserve"> - </v>
      </c>
      <c r="BK21" s="574"/>
      <c r="BL21" s="558">
        <f>IF(ISNUMBER(STDEV(BL8:BL18)),STDEV(BL8:BL18),"-")</f>
        <v>0.28921284242912992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IqemmQxVppDlX1vpMBQzKRZsYT7pC94ajD8sL4C3JNof7+HtMq8Eb3b0snV0k+uwzhyLvQ4pItOld/0j4yzdHQ==" saltValue="wJ52CwjKdG60IFbxrhZO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MATARO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2230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2317</v>
      </c>
      <c r="AA9" s="331" t="str">
        <f>IF(ISNUMBER(IF(J_V="SI",Datos!L9,Datos!L9+Datos!AB9)-IF(Monitorios="SI",Datos!CD9,0)),
                          IF(J_V="SI",Datos!L9,Datos!L9+Datos!AB9)-IF(Monitorios="SI",Datos!CD9,0),
                          " - ")</f>
        <v xml:space="preserve"> - </v>
      </c>
      <c r="AB9" s="333"/>
      <c r="AC9" s="333"/>
      <c r="AD9" s="483"/>
      <c r="AE9" s="483">
        <f>IF(ISNUMBER(Datos!R9),Datos!R9," - ")</f>
        <v>13941</v>
      </c>
      <c r="AF9" s="228" t="str">
        <f>IF(ISNUMBER(Datos!BV9),Datos!BV9," - ")</f>
        <v xml:space="preserve"> - </v>
      </c>
      <c r="AG9" s="224" t="str">
        <f>IF(ISNUMBER(Datos!DV9),Datos!DV9," - ")</f>
        <v xml:space="preserve"> - </v>
      </c>
      <c r="AH9" s="297"/>
      <c r="AI9" s="226"/>
      <c r="AJ9" s="224">
        <f>IF(ISNUMBER(Datos!M9),Datos!M9," - ")</f>
        <v>712</v>
      </c>
      <c r="AK9" s="228">
        <f>IF(ISNUMBER(Datos!N9),Datos!N9," - ")</f>
        <v>1425</v>
      </c>
      <c r="AL9" s="228" t="str">
        <f>IF(ISNUMBER(Datos!BW9),Datos!BW9," - ")</f>
        <v xml:space="preserve"> - </v>
      </c>
      <c r="AM9" s="227" t="str">
        <f>IF(ISNUMBER(Datos!BX9),Datos!BX9," - ")</f>
        <v xml:space="preserve"> - </v>
      </c>
      <c r="AN9" s="242"/>
      <c r="AO9" s="259">
        <f>IF(ISNUMBER(((NºAsuntos!I9/NºAsuntos!G9)*11)/factor_trimestre),((NºAsuntos!I9/NºAsuntos!G9)*11)/factor_trimestre," - ")</f>
        <v>8.3707627118644066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-6.2018819503849446E-3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114</v>
      </c>
      <c r="G10" s="224">
        <f>IF(ISNUMBER(Datos!I10),Datos!I10," - ")</f>
        <v>114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36</v>
      </c>
      <c r="Z10" s="618">
        <f>IF(ISNUMBER(Datos!Q10),Datos!Q10," - ")</f>
        <v>39</v>
      </c>
      <c r="AA10" s="331">
        <f>IF(ISNUMBER(Datos!L10),Datos!L10,"-")</f>
        <v>118</v>
      </c>
      <c r="AB10" s="333"/>
      <c r="AC10" s="333"/>
      <c r="AD10" s="483"/>
      <c r="AE10" s="483">
        <f>IF(ISNUMBER(Datos!R10),Datos!R10," - ")</f>
        <v>163</v>
      </c>
      <c r="AF10" s="228" t="str">
        <f>IF(ISNUMBER(Datos!BV10),Datos!BV10," - ")</f>
        <v xml:space="preserve"> - </v>
      </c>
      <c r="AG10" s="224" t="str">
        <f>IF(ISNUMBER(Datos!DV10),Datos!DV10," - ")</f>
        <v xml:space="preserve"> - </v>
      </c>
      <c r="AH10" s="297"/>
      <c r="AI10" s="226"/>
      <c r="AJ10" s="224">
        <f>IF(ISNUMBER(Datos!M10),Datos!M10," - ")</f>
        <v>13</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9.8333333333333339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-0.13756613756613756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84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217</v>
      </c>
      <c r="AA11" s="331" t="str">
        <f>IF(ISNUMBER(IF(J_V="SI",Datos!L11,Datos!L11+Datos!AB11)-IF(Monitorios="SI",Datos!CD11,0)),
                          IF(J_V="SI",Datos!L11,Datos!L11+Datos!AB11)-IF(Monitorios="SI",Datos!CD11,0),
                          " - ")</f>
        <v xml:space="preserve"> - </v>
      </c>
      <c r="AB11" s="333"/>
      <c r="AC11" s="333"/>
      <c r="AD11" s="483"/>
      <c r="AE11" s="483">
        <f>IF(ISNUMBER(Datos!R11),Datos!R11," - ")</f>
        <v>1104</v>
      </c>
      <c r="AF11" s="228" t="str">
        <f>IF(ISNUMBER(Datos!BV11),Datos!BV11," - ")</f>
        <v xml:space="preserve"> - </v>
      </c>
      <c r="AG11" s="224" t="str">
        <f>IF(ISNUMBER(Datos!DV11),Datos!DV11," - ")</f>
        <v xml:space="preserve"> - </v>
      </c>
      <c r="AH11" s="297"/>
      <c r="AI11" s="226"/>
      <c r="AJ11" s="224">
        <f>IF(ISNUMBER(Datos!M11),Datos!M11," - ")</f>
        <v>170</v>
      </c>
      <c r="AK11" s="228">
        <f>IF(ISNUMBER(Datos!N11),Datos!N11," - ")</f>
        <v>283</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5.9686956521739134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-0.10751818916734034</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10</v>
      </c>
      <c r="F13" s="897">
        <f>SUBTOTAL(9,F8:F12)</f>
        <v>114</v>
      </c>
      <c r="G13" s="897">
        <f>SUBTOTAL(9,G8:G12)</f>
        <v>114</v>
      </c>
      <c r="H13" s="907"/>
      <c r="I13" s="897">
        <f t="shared" ref="I13:N13" si="0">SUBTOTAL(9,I8:I12)</f>
        <v>0</v>
      </c>
      <c r="J13" s="866">
        <f t="shared" si="0"/>
        <v>0</v>
      </c>
      <c r="K13" s="907">
        <f t="shared" si="0"/>
        <v>0</v>
      </c>
      <c r="L13" s="907">
        <f t="shared" si="0"/>
        <v>0</v>
      </c>
      <c r="M13" s="907">
        <f t="shared" si="0"/>
        <v>0</v>
      </c>
      <c r="N13" s="907">
        <f t="shared" si="0"/>
        <v>2327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36</v>
      </c>
      <c r="Z13" s="906">
        <f t="shared" si="2"/>
        <v>2573</v>
      </c>
      <c r="AA13" s="899">
        <f t="shared" si="2"/>
        <v>118</v>
      </c>
      <c r="AB13" s="899">
        <f t="shared" si="2"/>
        <v>0</v>
      </c>
      <c r="AC13" s="899">
        <f t="shared" si="2"/>
        <v>0</v>
      </c>
      <c r="AD13" s="899">
        <f t="shared" si="2"/>
        <v>0</v>
      </c>
      <c r="AE13" s="899">
        <f t="shared" si="2"/>
        <v>15208</v>
      </c>
      <c r="AF13" s="907">
        <f t="shared" si="2"/>
        <v>0</v>
      </c>
      <c r="AG13" s="907">
        <f t="shared" si="2"/>
        <v>0</v>
      </c>
      <c r="AH13" s="907">
        <f t="shared" si="2"/>
        <v>0</v>
      </c>
      <c r="AI13" s="907">
        <f t="shared" si="2"/>
        <v>0</v>
      </c>
      <c r="AJ13" s="907">
        <f t="shared" si="2"/>
        <v>895</v>
      </c>
      <c r="AK13" s="907">
        <f t="shared" si="2"/>
        <v>1713</v>
      </c>
      <c r="AL13" s="907">
        <f t="shared" si="2"/>
        <v>0</v>
      </c>
      <c r="AM13" s="907">
        <f t="shared" si="2"/>
        <v>0</v>
      </c>
      <c r="AN13" s="907">
        <f t="shared" si="2"/>
        <v>0</v>
      </c>
      <c r="AO13" s="903">
        <f>IF(ISNUMBER(((NºAsuntos!I13/NºAsuntos!G13)*11)/factor_trimestre),((NºAsuntos!I13/NºAsuntos!G13)*11)/factor_trimestre," - ")</f>
        <v>7.9848968922451355</v>
      </c>
      <c r="AP13" s="909" t="str">
        <f>IF(ISNUMBER(Datos!CI13/Datos!CJ13),Datos!CI13/Datos!CJ13," - ")</f>
        <v xml:space="preserve"> - </v>
      </c>
      <c r="AQ13" s="927">
        <f t="shared" ref="AQ13:AV13" si="3">SUBTOTAL(9,AQ9:AQ12)</f>
        <v>0</v>
      </c>
      <c r="AR13" s="927">
        <f t="shared" si="3"/>
        <v>-0.25128620868386287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5327</v>
      </c>
      <c r="G15" s="224">
        <f>IF(ISNUMBER(IF(D_I="SI",Datos!I15,Datos!I15+Datos!AC15)),IF(D_I="SI",Datos!I15,Datos!I15+Datos!AC15)," - ")</f>
        <v>5296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3721</v>
      </c>
      <c r="Z15" s="618">
        <f>IF(ISNUMBER(Datos!Q15),Datos!Q15," - ")</f>
        <v>116</v>
      </c>
      <c r="AA15" s="331">
        <f>IF(ISNUMBER(IF(D_I="SI",Datos!L15,Datos!L15+Datos!AF15)),IF(D_I="SI",Datos!L15,Datos!L15+Datos!AF15)," - ")</f>
        <v>5337</v>
      </c>
      <c r="AB15" s="333"/>
      <c r="AC15" s="333"/>
      <c r="AD15" s="483"/>
      <c r="AE15" s="483">
        <f>IF(ISNUMBER(Datos!R15),Datos!R15," - ")</f>
        <v>446</v>
      </c>
      <c r="AF15" s="228" t="str">
        <f>IF(ISNUMBER(Datos!BV15),Datos!BV15," - ")</f>
        <v xml:space="preserve"> - </v>
      </c>
      <c r="AG15" s="224"/>
      <c r="AH15" s="297"/>
      <c r="AI15" s="226"/>
      <c r="AJ15" s="224">
        <f>IF(ISNUMBER(Datos!M15),Datos!M15," - ")</f>
        <v>497</v>
      </c>
      <c r="AK15" s="228">
        <f>IF(ISNUMBER(Datos!N15),Datos!N15," - ")</f>
        <v>1901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4.3028755710830424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596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140</v>
      </c>
      <c r="Z17" s="618">
        <f>IF(ISNUMBER(Datos!Q17),Datos!Q17," - ")</f>
        <v>0</v>
      </c>
      <c r="AA17" s="331">
        <f>IF(ISNUMBER(Datos!L17),Datos!L17,"-")</f>
        <v>702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22</v>
      </c>
      <c r="AK17" s="228">
        <f>IF(ISNUMBER(Datos!N17),Datos!N17," - ")</f>
        <v>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15.042857142857144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5327</v>
      </c>
      <c r="G18" s="897">
        <f>SUBTOTAL(9,G15:G17)</f>
        <v>5892</v>
      </c>
      <c r="H18" s="931">
        <f>SUBTOTAL(9,H15:H17)</f>
        <v>0</v>
      </c>
      <c r="I18" s="910">
        <f>SUBTOTAL(9,I15:I17)</f>
        <v>0</v>
      </c>
      <c r="J18" s="866">
        <f>SUBTOTAL(9,J14:J17)</f>
        <v>0</v>
      </c>
      <c r="K18" s="931">
        <f t="shared" ref="K18:S18" si="4">SUBTOTAL(9,K15:K17)</f>
        <v>0</v>
      </c>
      <c r="L18" s="931">
        <f t="shared" si="4"/>
        <v>0</v>
      </c>
      <c r="M18" s="931">
        <f t="shared" si="4"/>
        <v>0</v>
      </c>
      <c r="N18" s="931">
        <f t="shared" si="4"/>
        <v>118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3861</v>
      </c>
      <c r="Z18" s="931">
        <f t="shared" si="5"/>
        <v>116</v>
      </c>
      <c r="AA18" s="931">
        <f t="shared" si="5"/>
        <v>6039</v>
      </c>
      <c r="AB18" s="931">
        <f t="shared" si="5"/>
        <v>0</v>
      </c>
      <c r="AC18" s="931">
        <f t="shared" si="5"/>
        <v>0</v>
      </c>
      <c r="AD18" s="931">
        <f t="shared" si="5"/>
        <v>0</v>
      </c>
      <c r="AE18" s="931">
        <f t="shared" si="5"/>
        <v>446</v>
      </c>
      <c r="AF18" s="931">
        <f t="shared" si="5"/>
        <v>0</v>
      </c>
      <c r="AG18" s="931">
        <f t="shared" si="5"/>
        <v>0</v>
      </c>
      <c r="AH18" s="931">
        <f t="shared" si="5"/>
        <v>0</v>
      </c>
      <c r="AI18" s="931">
        <f t="shared" si="5"/>
        <v>0</v>
      </c>
      <c r="AJ18" s="931">
        <f t="shared" si="5"/>
        <v>519</v>
      </c>
      <c r="AK18" s="931">
        <f t="shared" si="5"/>
        <v>1937</v>
      </c>
      <c r="AL18" s="931">
        <f t="shared" si="5"/>
        <v>0</v>
      </c>
      <c r="AM18" s="931">
        <f t="shared" si="5"/>
        <v>0</v>
      </c>
      <c r="AN18" s="931">
        <f t="shared" si="5"/>
        <v>0</v>
      </c>
      <c r="AO18" s="933">
        <f>IF(ISNUMBER(((NºAsuntos!I18/NºAsuntos!G18)*11)/factor_trimestre),((NºAsuntos!I18/NºAsuntos!G18)*11)/factor_trimestre," - ")</f>
        <v>4.6923076923076925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5441</v>
      </c>
      <c r="G19" s="819">
        <f t="shared" si="7"/>
        <v>6006</v>
      </c>
      <c r="H19" s="820">
        <f t="shared" si="7"/>
        <v>0</v>
      </c>
      <c r="I19" s="819">
        <f t="shared" si="7"/>
        <v>0</v>
      </c>
      <c r="J19" s="821">
        <f t="shared" si="7"/>
        <v>0</v>
      </c>
      <c r="K19" s="819">
        <f t="shared" si="7"/>
        <v>0</v>
      </c>
      <c r="L19" s="822">
        <f t="shared" si="7"/>
        <v>0</v>
      </c>
      <c r="M19" s="819">
        <f t="shared" si="7"/>
        <v>0</v>
      </c>
      <c r="N19" s="820">
        <f t="shared" si="7"/>
        <v>2445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3897</v>
      </c>
      <c r="Z19" s="826">
        <f t="shared" si="8"/>
        <v>2689</v>
      </c>
      <c r="AA19" s="827">
        <f t="shared" si="8"/>
        <v>6157</v>
      </c>
      <c r="AB19" s="827">
        <f t="shared" si="8"/>
        <v>0</v>
      </c>
      <c r="AC19" s="827">
        <f t="shared" si="8"/>
        <v>0</v>
      </c>
      <c r="AD19" s="828">
        <f t="shared" si="8"/>
        <v>0</v>
      </c>
      <c r="AE19" s="828">
        <f t="shared" si="8"/>
        <v>15654</v>
      </c>
      <c r="AF19" s="829">
        <f t="shared" si="8"/>
        <v>0</v>
      </c>
      <c r="AG19" s="830">
        <f t="shared" si="8"/>
        <v>0</v>
      </c>
      <c r="AH19" s="831">
        <f t="shared" si="8"/>
        <v>0</v>
      </c>
      <c r="AI19" s="829">
        <f t="shared" si="8"/>
        <v>0</v>
      </c>
      <c r="AJ19" s="819">
        <f t="shared" si="8"/>
        <v>1414</v>
      </c>
      <c r="AK19" s="819">
        <f t="shared" si="8"/>
        <v>3650</v>
      </c>
      <c r="AL19" s="819">
        <f t="shared" si="8"/>
        <v>0</v>
      </c>
      <c r="AM19" s="832">
        <f t="shared" si="8"/>
        <v>0</v>
      </c>
      <c r="AN19" s="822">
        <f>IF(ISNUMBER(Datos!K19/Datos!J19),Datos!K19/Datos!J19," - ")</f>
        <v>1.060513912117987</v>
      </c>
      <c r="AO19" s="822">
        <f>IF(ISNUMBER(FIND("06",Criterios!A8,1)),(IF(ISNUMBER(((Datos!R19/Datos!Q19)*11)/factor_trimestre),((Datos!R19/Datos!Q19)*11)/factor_trimestre," - ")),(IF(ISNUMBER(((Datos!L19/Datos!K19)*11)/factor_trimestre),((Datos!L19/Datos!K19)*11)/factor_trimestre," - ")))</f>
        <v>6.4477419354838723</v>
      </c>
      <c r="AP19" s="833" t="str">
        <f>IF(ISNUMBER(Datos!CI19/Datos!CJ19),Datos!CI19/Datos!CJ19," - ")</f>
        <v xml:space="preserve"> - </v>
      </c>
      <c r="AQ19" s="833">
        <f>IF(OR(ISNUMBER(FIND("01",Criterios!A8,1)),ISNUMBER(FIND("02",Criterios!A8,1)),ISNUMBER(FIND("03",Criterios!A8,1)),ISNUMBER(FIND("04",Criterios!A8,1))),(J19-Y19+K19)/(F19-K19),(I19-Y19+K19)/(F19-K19))</f>
        <v>-0.71622863444219809</v>
      </c>
      <c r="AR19" s="833">
        <f>IF(ISNUMBER((Datos!P19-Datos!Q19+O19)/(Datos!R19-Datos!P19+Datos!Q19-O19)),(Datos!P19-Datos!Q19+O19)/(Datos!R19-Datos!P19+Datos!Q19-O19)," - ")</f>
        <v>-1.5347842495911436E-2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2402.4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3009.7269532855194</v>
      </c>
      <c r="G21" s="551">
        <f>IF(ISNUMBER(STDEV(G8:G18)),STDEV(G8:G18),"-")</f>
        <v>2927.7491012721703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344.3302678146859</v>
      </c>
      <c r="AK21" s="251"/>
      <c r="AL21" s="251">
        <f>IF(ISNUMBER(STDEV(AL8:AL18)),STDEV(AL8:AL18),"-")</f>
        <v>0</v>
      </c>
      <c r="AM21" s="253">
        <f>IF(ISNUMBER(STDEV(AM8:AM18)),STDEV(AM8:AM18),"-")</f>
        <v>0</v>
      </c>
      <c r="AN21" s="538">
        <f>IF(ISNUMBER(STDEV(AN8:AN18)),STDEV(AN8:AN18),"-")</f>
        <v>0</v>
      </c>
      <c r="AO21" s="539">
        <f>IF(ISNUMBER(STDEV(AO8:AO18)),STDEV(AO8:AO18),"-")</f>
        <v>3.6930322433531533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GZRLG2O6aghJNAupBnxDWMd84h+ooeRrwpyFCp947hL38ulSVsjbML1DHK1i1ieHbIevWchicVSCk0IS9qlww==" saltValue="AZRukJQ00owxZbUM6o+8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W/yKUEjaTIIl3ycrVqsVoZlpj5FQMKrj2qAmtbi0lhG0R/V8qLy1lx86ZXOf70z2oKtSxKrBy02q/NgQQCZ2g==" saltValue="PIUbSgi2Ag9zj2Mu4zXF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RG6Qk9vKTcWUcvoRLNJtL2joeZE19ybFShyaM2xsa1yF1aUnYnmErINV9Qs5r0VmE99poVfk4J7lj+FulxZIw==" saltValue="B44mhItsYDItX9jDXHQ4P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MATARO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0.25994772001161776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0.18381079557419691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7H+sMiS6MKoBidk9idPHd3dewQCIjWT3W+FHxCFewaY6gOjppm1Dr/IJI2SqoBe95t5ZAN1EOHba01lwZ1ZAZw==" saltValue="AO9BcTIo+LTrnxNg4/u4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HDlSSoSXWJLE+0uIwkxEienefwh4r14882bahkD1knh2ni+/uCapMgtZ2P1advoTGhMENxZqc2T8Zc0dOL/Sw==" saltValue="UOJeqmmUEb4SUWrFXVLr7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MATARO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8405</v>
      </c>
      <c r="D9" s="403">
        <f>IF(ISNUMBER(C9/Datos!BH9),C9/Datos!BH9," - ")</f>
        <v>1200.7142857142858</v>
      </c>
      <c r="E9" s="402">
        <f>IF(ISNUMBER(IF(J_V="SI",Datos!J9,Datos!J9+Datos!Z9)),IF(J_V="SI",Datos!J9,Datos!J9+Datos!Z9)," - ")</f>
        <v>2320</v>
      </c>
      <c r="F9" s="403">
        <f>IF(ISNUMBER(E9/B9),E9/B9," - ")</f>
        <v>331.42857142857144</v>
      </c>
      <c r="G9" s="402">
        <f>IF(ISNUMBER(IF(J_V="SI",Datos!K9,Datos!K9+Datos!AA9)),IF(J_V="SI",Datos!K9,Datos!K9+Datos!AA9)," - ")</f>
        <v>2832</v>
      </c>
      <c r="H9" s="403">
        <f>IF(ISNUMBER(G9/B9),G9/B9," - ")</f>
        <v>404.57142857142856</v>
      </c>
      <c r="I9" s="402">
        <f>IF(ISNUMBER(IF(J_V="SI",Datos!L9,Datos!L9+Datos!AB9)),IF(J_V="SI",Datos!L9,Datos!L9+Datos!AB9)," - ")</f>
        <v>7902</v>
      </c>
      <c r="J9" s="403">
        <f>IF(ISNUMBER(I9/B9),I9/B9," - ")</f>
        <v>1128.8571428571429</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114</v>
      </c>
      <c r="D10" s="403">
        <f>IF(ISNUMBER(C10/Datos!BH10),C10/Datos!BH10," - ")</f>
        <v>57</v>
      </c>
      <c r="E10" s="402">
        <f>IF(ISNUMBER(Datos!J10),Datos!J10," - ")</f>
        <v>40</v>
      </c>
      <c r="F10" s="403">
        <f>IF(ISNUMBER(E10/B10),E10/B10," - ")</f>
        <v>20</v>
      </c>
      <c r="G10" s="402">
        <f>IF(ISNUMBER(Datos!K10),Datos!K10," - ")</f>
        <v>36</v>
      </c>
      <c r="H10" s="403">
        <f>IF(ISNUMBER(G10/B10),G10/B10," - ")</f>
        <v>18</v>
      </c>
      <c r="I10" s="402">
        <f>IF(ISNUMBER(Datos!L10),Datos!L10," - ")</f>
        <v>118</v>
      </c>
      <c r="J10" s="403">
        <f>IF(ISNUMBER(I10/B10),I10/B10," - ")</f>
        <v>59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1135</v>
      </c>
      <c r="D11" s="403">
        <f>IF(ISNUMBER(C11/Datos!BH11),C11/Datos!BH11," - ")</f>
        <v>567.5</v>
      </c>
      <c r="E11" s="402">
        <f>IF(ISNUMBER(IF(J_V="SI",Datos!J11,Datos!J11+Datos!Z11)),IF(J_V="SI",Datos!J11,Datos!J11+Datos!Z11)," - ")</f>
        <v>582</v>
      </c>
      <c r="F11" s="403">
        <f>IF(ISNUMBER(E11/B11),E11/B11," - ")</f>
        <v>291</v>
      </c>
      <c r="G11" s="402">
        <f>IF(ISNUMBER(IF(J_V="SI",Datos!K11,Datos!K11+Datos!AA11)),IF(J_V="SI",Datos!K11,Datos!K11+Datos!AA11)," - ")</f>
        <v>575</v>
      </c>
      <c r="H11" s="403">
        <f>IF(ISNUMBER(G11/B11),G11/B11," - ")</f>
        <v>287.5</v>
      </c>
      <c r="I11" s="402">
        <f>IF(ISNUMBER(IF(J_V="SI",Datos!L11,Datos!L11+Datos!AB11)),IF(J_V="SI",Datos!L11,Datos!L11+Datos!AB11)," - ")</f>
        <v>1144</v>
      </c>
      <c r="J11" s="403">
        <f>IF(ISNUMBER(I11/B11),I11/B11," - ")</f>
        <v>572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9654</v>
      </c>
      <c r="D13" s="849" t="str">
        <f>IF(ISNUMBER(C13/Datos!BI13),C13/Datos!BI13," - ")</f>
        <v xml:space="preserve"> - </v>
      </c>
      <c r="E13" s="848">
        <f>SUBTOTAL(9,E8:E12)</f>
        <v>2942</v>
      </c>
      <c r="F13" s="849">
        <f>IF(ISNUMBER(E13/B13),E13/B13," - ")</f>
        <v>294.2</v>
      </c>
      <c r="G13" s="848">
        <f>SUBTOTAL(9,G8:G12)</f>
        <v>3443</v>
      </c>
      <c r="H13" s="849">
        <f>IF(ISNUMBER(G13/B13),G13/B13," - ")</f>
        <v>344.3</v>
      </c>
      <c r="I13" s="848">
        <f>SUBTOTAL(9,I8:I12)</f>
        <v>9164</v>
      </c>
      <c r="J13" s="849">
        <f>IF(ISNUMBER(I13/B13),I13/B13," - ")</f>
        <v>916.4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5296</v>
      </c>
      <c r="D15" s="403">
        <f>IF(ISNUMBER(C15/Datos!BH15),C15/Datos!BH15," - ")</f>
        <v>1059.2</v>
      </c>
      <c r="E15" s="402">
        <f>IF(ISNUMBER(IF(D_I="SI",Datos!J15,Datos!J15+Datos!AD15)),IF(D_I="SI",Datos!J15,Datos!J15+Datos!AD15)," - ")</f>
        <v>3731</v>
      </c>
      <c r="F15" s="403">
        <f>IF(ISNUMBER(E15/B15),E15/B15," - ")</f>
        <v>746.2</v>
      </c>
      <c r="G15" s="402">
        <f>IF(ISNUMBER(IF(D_I="SI",Datos!K15,Datos!K15+Datos!AE15)),IF(D_I="SI",Datos!K15,Datos!K15+Datos!AE15)," - ")</f>
        <v>3721</v>
      </c>
      <c r="H15" s="403">
        <f>IF(ISNUMBER(G15/B15),G15/B15," - ")</f>
        <v>744.2</v>
      </c>
      <c r="I15" s="402">
        <f>IF(ISNUMBER(IF(D_I="SI",Datos!L15,Datos!L15+Datos!AF15)),IF(D_I="SI",Datos!L15,Datos!L15+Datos!AF15)," - ")</f>
        <v>5337</v>
      </c>
      <c r="J15" s="403">
        <f>IF(ISNUMBER(I15/B15),I15/B15," - ")</f>
        <v>1067.4000000000001</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596</v>
      </c>
      <c r="D17" s="403">
        <f>IF(ISNUMBER(C17/Datos!BH17),C17/Datos!BH17," - ")</f>
        <v>298</v>
      </c>
      <c r="E17" s="402">
        <f>IF(ISNUMBER(IF(D_I="SI",Datos!J17,Datos!J17+Datos!AD17)),IF(D_I="SI",Datos!J17,Datos!J17+Datos!AD17)," - ")</f>
        <v>246</v>
      </c>
      <c r="F17" s="403">
        <f>IF(ISNUMBER(E17/B17),E17/B17," - ")</f>
        <v>123</v>
      </c>
      <c r="G17" s="402">
        <f>IF(ISNUMBER(IF(D_I="SI",Datos!K17,Datos!K17+Datos!AE17)),IF(D_I="SI",Datos!K17,Datos!K17+Datos!AE17)," - ")</f>
        <v>140</v>
      </c>
      <c r="H17" s="403">
        <f>IF(ISNUMBER(G17/B17),G17/B17," - ")</f>
        <v>70</v>
      </c>
      <c r="I17" s="402">
        <f>IF(ISNUMBER(IF(D_I="SI",Datos!L17,Datos!L17+Datos!AF17)),IF(D_I="SI",Datos!L17,Datos!L17+Datos!AF17)," - ")</f>
        <v>702</v>
      </c>
      <c r="J17" s="403">
        <f>IF(ISNUMBER(I17/B17),I17/B17," - ")</f>
        <v>351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5892</v>
      </c>
      <c r="D18" s="849" t="str">
        <f>IF(ISNUMBER(C18/Datos!BI18),C18/Datos!BI18," - ")</f>
        <v xml:space="preserve"> - </v>
      </c>
      <c r="E18" s="848">
        <f>SUBTOTAL(9,E14:E17)</f>
        <v>3977</v>
      </c>
      <c r="F18" s="849">
        <f>IF(ISNUMBER(E18/B18),E18/B18," - ")</f>
        <v>662.83333333333337</v>
      </c>
      <c r="G18" s="848">
        <f>SUBTOTAL(9,G14:G17)</f>
        <v>3861</v>
      </c>
      <c r="H18" s="849">
        <f>IF(ISNUMBER(G18/B18),G18/B18," - ")</f>
        <v>643.5</v>
      </c>
      <c r="I18" s="848">
        <f>SUBTOTAL(9,I14:I17)</f>
        <v>6039</v>
      </c>
      <c r="J18" s="849">
        <f>IF(ISNUMBER(I18/B18),I18/B18," - ")</f>
        <v>1006.5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15</v>
      </c>
      <c r="C19" s="793">
        <f>SUBTOTAL(9,C9:C18)</f>
        <v>15546</v>
      </c>
      <c r="D19" s="794" t="str">
        <f>IF(ISNUMBER(C19/Datos!BI19),C19/Datos!BI19," - ")</f>
        <v xml:space="preserve"> - </v>
      </c>
      <c r="E19" s="793">
        <f>SUBTOTAL(9,E9:E18)</f>
        <v>6919</v>
      </c>
      <c r="F19" s="794">
        <f>IF(ISNUMBER(E19/B19),E19/B19," - ")</f>
        <v>461.26666666666665</v>
      </c>
      <c r="G19" s="793">
        <f>SUBTOTAL(9,G9:G18)</f>
        <v>7304</v>
      </c>
      <c r="H19" s="794">
        <f>IF(ISNUMBER(G19/B19),G19/B19," - ")</f>
        <v>486.93333333333334</v>
      </c>
      <c r="I19" s="793">
        <f>SUBTOTAL(9,I9:I18)</f>
        <v>15203</v>
      </c>
      <c r="J19" s="794">
        <f>IF(ISNUMBER(I19/B19),I19/B19," - ")</f>
        <v>1013.5333333333333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82swQxMfIddADgn0dVydRWDtqf/U3ics9/9QecMEEMnKQfxWYt8kU0PAdW4gCfKdckIKWvsTO9P2lClfHL1xw==" saltValue="8gmk3Rfx9wagdgLKgsrv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MATARO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114</v>
      </c>
      <c r="G10" s="683">
        <f>IF(ISNUMBER(Datos!I10),Datos!I10," - ")</f>
        <v>114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36</v>
      </c>
      <c r="AC10" s="682" t="str">
        <f>IF(ISNUMBER(IF(D_I="SI",DatosP!K17,DatosP!K17+DatosP!AE17)),IF(D_I="SI",DatosP!K17,DatosP!K17+DatosP!AE17)," - ")</f>
        <v xml:space="preserve"> - </v>
      </c>
      <c r="AD10" s="684"/>
      <c r="AE10" s="684"/>
      <c r="AF10" s="687">
        <f>IF(ISNUMBER(Datos!L10),Datos!L10,"-")</f>
        <v>118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9.8333333333333339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114</v>
      </c>
      <c r="G13" s="937">
        <f t="shared" si="0"/>
        <v>114</v>
      </c>
      <c r="H13" s="937">
        <f t="shared" si="0"/>
        <v>0</v>
      </c>
      <c r="I13" s="939">
        <f t="shared" si="0"/>
        <v>0</v>
      </c>
      <c r="J13" s="938">
        <f t="shared" si="0"/>
        <v>0</v>
      </c>
      <c r="K13" s="938">
        <f t="shared" si="0"/>
        <v>0</v>
      </c>
      <c r="L13" s="940">
        <f t="shared" si="0"/>
        <v>0</v>
      </c>
      <c r="M13" s="940">
        <f t="shared" si="0"/>
        <v>0</v>
      </c>
      <c r="N13" s="938">
        <f t="shared" si="0"/>
        <v>13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36</v>
      </c>
      <c r="AC13" s="938">
        <f t="shared" si="1"/>
        <v>0</v>
      </c>
      <c r="AD13" s="938">
        <f t="shared" si="1"/>
        <v>0</v>
      </c>
      <c r="AE13" s="938">
        <f t="shared" si="1"/>
        <v>0</v>
      </c>
      <c r="AF13" s="938">
        <f t="shared" si="1"/>
        <v>118</v>
      </c>
      <c r="AG13" s="938">
        <f t="shared" si="1"/>
        <v>0</v>
      </c>
      <c r="AH13" s="938">
        <f t="shared" si="1"/>
        <v>0</v>
      </c>
      <c r="AI13" s="938">
        <f t="shared" si="1"/>
        <v>0</v>
      </c>
      <c r="AJ13" s="938">
        <f t="shared" si="1"/>
        <v>0</v>
      </c>
      <c r="AK13" s="938">
        <f t="shared" si="1"/>
        <v>0</v>
      </c>
      <c r="AL13" s="938">
        <f t="shared" si="1"/>
        <v>13</v>
      </c>
      <c r="AM13" s="938">
        <f t="shared" si="1"/>
        <v>5</v>
      </c>
      <c r="AN13" s="938">
        <f t="shared" si="1"/>
        <v>0</v>
      </c>
      <c r="AO13" s="938">
        <f t="shared" si="1"/>
        <v>0</v>
      </c>
      <c r="AP13" s="943">
        <f>IF(ISNUMBER(((Datos!L13/Datos!K13)*11)/factor_trimestre),((Datos!L13/Datos!K13)*11)/factor_trimestre," - ")</f>
        <v>8.6242774566473983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-0.31578947368421051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4.6923076923076925</v>
      </c>
      <c r="AQ18" s="943">
        <f>IF(ISNUMBER(((Datos!M18/Datos!L18)*11)/factor_trimestre),((Datos!M18/Datos!L18)*11)/factor_trimestre," - ")</f>
        <v>0.25782414307004475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4.5045045045045045E-3</v>
      </c>
      <c r="AW18" s="945">
        <f>IF(ISNUMBER((Datos!Q18-Datos!R18)/(Datos!S18-Datos!Q18+Datos!R18)),(Datos!Q18-Datos!R18)/(Datos!S18-Datos!Q18+Datos!R18)," - ")</f>
        <v>-5.9267241379310345E-2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114</v>
      </c>
      <c r="G19" s="950">
        <f t="shared" si="4"/>
        <v>114</v>
      </c>
      <c r="H19" s="950">
        <f t="shared" si="4"/>
        <v>0</v>
      </c>
      <c r="I19" s="951">
        <f t="shared" si="4"/>
        <v>0</v>
      </c>
      <c r="J19" s="952">
        <f t="shared" si="4"/>
        <v>0</v>
      </c>
      <c r="K19" s="952">
        <f t="shared" si="4"/>
        <v>0</v>
      </c>
      <c r="L19" s="952">
        <f t="shared" si="4"/>
        <v>0</v>
      </c>
      <c r="M19" s="952">
        <f t="shared" si="4"/>
        <v>0</v>
      </c>
      <c r="N19" s="951">
        <f t="shared" si="4"/>
        <v>13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36</v>
      </c>
      <c r="AC19" s="956">
        <f t="shared" si="5"/>
        <v>0</v>
      </c>
      <c r="AD19" s="956">
        <f t="shared" si="5"/>
        <v>0</v>
      </c>
      <c r="AE19" s="956">
        <f t="shared" si="5"/>
        <v>0</v>
      </c>
      <c r="AF19" s="957">
        <f t="shared" si="5"/>
        <v>118</v>
      </c>
      <c r="AG19" s="957">
        <f t="shared" si="5"/>
        <v>0</v>
      </c>
      <c r="AH19" s="957">
        <f t="shared" si="5"/>
        <v>0</v>
      </c>
      <c r="AI19" s="957">
        <f t="shared" si="5"/>
        <v>0</v>
      </c>
      <c r="AJ19" s="958">
        <f t="shared" si="5"/>
        <v>0</v>
      </c>
      <c r="AK19" s="958">
        <f t="shared" si="5"/>
        <v>0</v>
      </c>
      <c r="AL19" s="950">
        <f t="shared" si="5"/>
        <v>13</v>
      </c>
      <c r="AM19" s="950">
        <f t="shared" si="5"/>
        <v>5</v>
      </c>
      <c r="AN19" s="950">
        <f t="shared" si="5"/>
        <v>0</v>
      </c>
      <c r="AO19" s="950">
        <f t="shared" si="5"/>
        <v>0</v>
      </c>
      <c r="AP19" s="950">
        <f>IF(ISNUMBER(((Datos!L19/Datos!K19)*11)/factor_trimestre),((Datos!L19/Datos!K19)*11)/factor_trimestre," - ")</f>
        <v>6.4477419354838723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-0.31578947368421051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-1.5347842495911436E-2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65.817930687617334</v>
      </c>
      <c r="G21" s="736">
        <f>IF(ISNUMBER(STDEV(G8:G18)),STDEV(G8:G18),"-")</f>
        <v>65.817930687617334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20.784609690826528</v>
      </c>
      <c r="AC21" s="737">
        <f>IF(ISNUMBER(STDEV(AC8:AC18)),STDEV(AC8:AC18),"-")</f>
        <v>0</v>
      </c>
      <c r="AD21" s="740"/>
      <c r="AE21" s="740"/>
      <c r="AF21" s="740"/>
      <c r="AG21" s="740"/>
      <c r="AH21" s="740"/>
      <c r="AI21" s="740"/>
      <c r="AJ21" s="741">
        <f>IF(ISNUMBER(STDEV(AJ8:AJ18)),STDEV(AJ8:AJ18),"-")</f>
        <v>0</v>
      </c>
      <c r="AK21" s="743"/>
      <c r="AL21" s="735">
        <f>IF(ISNUMBER(STDEV(AL8:AL18)),STDEV(AL8:AL18),"-")</f>
        <v>7.5055534994651349</v>
      </c>
      <c r="AM21" s="735"/>
      <c r="AN21" s="735">
        <f>IF(ISNUMBER(STDEV(AN8:AN18)),STDEV(AN8:AN18),"-")</f>
        <v>0</v>
      </c>
      <c r="AO21" s="741">
        <f>IF(ISNUMBER(STDEV(AO8:AO18)),STDEV(AO8:AO18),"-")</f>
        <v>0</v>
      </c>
      <c r="AP21" s="778">
        <f>IF(ISNUMBER(STDEV(AP8:AP18)),STDEV(AP8:AP18),"-")</f>
        <v>2.6880087729988711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vd/H2aqwZZxkAfnPvGdwAq2O121pXNkK0nVf+yjKf2IYk6YSJSlDzDp5iln4j4g/0uopQR5y1UQ4/FB5/vV1A==" saltValue="DWb12ty853x8+hMf43O91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MATARO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4sfIrK/TM2LqOsRKX5jV8XdHSiTSJvIhpxsjAYFG8zHGqHZJ7tQ63MXglX3ECXj4zQRZmXz5q1id2VFQEx+rg==" saltValue="Fb5FFcqLdR2WJth4x/bK0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MATARO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712</v>
      </c>
      <c r="E9" s="403">
        <f t="shared" ref="E9:E13" si="0">IF(ISNUMBER(D9/B9),D9/B9," - ")</f>
        <v>101.71428571428571</v>
      </c>
      <c r="F9" s="402">
        <f>IF(ISNUMBER(Datos!N9),Datos!N9," - ")</f>
        <v>1425</v>
      </c>
      <c r="G9" s="403">
        <f t="shared" ref="G9:G13" si="1">IF(ISNUMBER(F9/B9),F9/B9," - ")</f>
        <v>203.57142857142858</v>
      </c>
      <c r="H9" s="402">
        <f>IF(ISNUMBER(Datos!O9),Datos!O9," - ")</f>
        <v>1390</v>
      </c>
      <c r="I9" s="403">
        <f>IF(ISNUMBER(H9/B9),H9/B9," - ")</f>
        <v>198.57142857142858</v>
      </c>
      <c r="BZ9" s="1185">
        <f>Datos!EZ9</f>
        <v>0</v>
      </c>
    </row>
    <row r="10" spans="1:78">
      <c r="A10" s="401" t="str">
        <f>Datos!A10</f>
        <v>Jdos. Violencia contra la mujer/Secc Viol. TI.</v>
      </c>
      <c r="B10" s="426">
        <f>Datos!AO10</f>
        <v>2</v>
      </c>
      <c r="C10" s="409">
        <f>Datos!AQ10</f>
        <v>1</v>
      </c>
      <c r="D10" s="402">
        <f>IF(ISNUMBER(Datos!M10),Datos!M10," - ")</f>
        <v>13</v>
      </c>
      <c r="E10" s="403">
        <f>IF(ISNUMBER(D10/B10),D10/B10," - ")</f>
        <v>6.5</v>
      </c>
      <c r="F10" s="402">
        <f>IF(ISNUMBER(Datos!N10),Datos!N10," - ")</f>
        <v>5</v>
      </c>
      <c r="G10" s="403">
        <f>IF(ISNUMBER(F10/B10),F10/B10," - ")</f>
        <v>2.5</v>
      </c>
      <c r="H10" s="402">
        <f>IF(ISNUMBER(Datos!O10),Datos!O10," - ")</f>
        <v>1</v>
      </c>
      <c r="I10" s="403">
        <f t="shared" ref="I10:I12" si="2">IF(ISNUMBER(H10/B10),H10/B10," - ")</f>
        <v>0.5</v>
      </c>
      <c r="BZ10" s="1185">
        <f>Datos!EZ10</f>
        <v>0</v>
      </c>
    </row>
    <row r="11" spans="1:78">
      <c r="A11" s="401" t="str">
        <f>Datos!A11</f>
        <v xml:space="preserve">Jdos. Familia                                   </v>
      </c>
      <c r="B11" s="426">
        <f>Datos!AO11</f>
        <v>2</v>
      </c>
      <c r="C11" s="409">
        <f>Datos!AQ11</f>
        <v>2</v>
      </c>
      <c r="D11" s="402">
        <f>IF(ISNUMBER(Datos!M11),Datos!M11," - ")</f>
        <v>170</v>
      </c>
      <c r="E11" s="403">
        <f t="shared" si="0"/>
        <v>85</v>
      </c>
      <c r="F11" s="402">
        <f>IF(ISNUMBER(Datos!N11),Datos!N11," - ")</f>
        <v>283</v>
      </c>
      <c r="G11" s="403">
        <f t="shared" si="1"/>
        <v>141.5</v>
      </c>
      <c r="H11" s="402">
        <f>IF(ISNUMBER(Datos!O11),Datos!O11," - ")</f>
        <v>242</v>
      </c>
      <c r="I11" s="403">
        <f t="shared" si="2"/>
        <v>121</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895</v>
      </c>
      <c r="E13" s="849">
        <f t="shared" si="0"/>
        <v>89.5</v>
      </c>
      <c r="F13" s="848">
        <f>SUBTOTAL(9,F9:F12)</f>
        <v>1713</v>
      </c>
      <c r="G13" s="849">
        <f t="shared" si="1"/>
        <v>171.3</v>
      </c>
      <c r="H13" s="848">
        <f>SUBTOTAL(9,H9:H12)</f>
        <v>1633</v>
      </c>
      <c r="I13" s="849">
        <f>IF(ISNUMBER(H13/B13),H13/B13," - ")</f>
        <v>163.30000000000001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497</v>
      </c>
      <c r="E15" s="403">
        <f t="shared" ref="E15:E18" si="3">IF(ISNUMBER(D15/B15),D15/B15," - ")</f>
        <v>99.4</v>
      </c>
      <c r="F15" s="402">
        <f>IF(ISNUMBER(Datos!N15),Datos!N15," - ")</f>
        <v>1901</v>
      </c>
      <c r="G15" s="403">
        <f t="shared" ref="G15:G18" si="4">IF(ISNUMBER(F15/B15),F15/B15," - ")</f>
        <v>380.2</v>
      </c>
      <c r="H15" s="402">
        <f>IF(ISNUMBER(Datos!O15),Datos!O15," - ")</f>
        <v>65</v>
      </c>
      <c r="I15" s="403">
        <f t="shared" ref="I15:I17" si="5">IF(ISNUMBER(H15/B15),H15/B15," - ")</f>
        <v>13</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22</v>
      </c>
      <c r="E17" s="403">
        <f>IF(ISNUMBER(D17/B17),D17/B17," - ")</f>
        <v>11</v>
      </c>
      <c r="F17" s="402">
        <f>IF(ISNUMBER(Datos!N17),Datos!N17," - ")</f>
        <v>36</v>
      </c>
      <c r="G17" s="403">
        <f>IF(ISNUMBER(F17/B17),F17/B17," - ")</f>
        <v>18</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519</v>
      </c>
      <c r="E18" s="849">
        <f t="shared" si="3"/>
        <v>86.5</v>
      </c>
      <c r="F18" s="848">
        <f>SUBTOTAL(9,F15:F17)</f>
        <v>1937</v>
      </c>
      <c r="G18" s="849">
        <f t="shared" si="4"/>
        <v>322.83333333333331</v>
      </c>
      <c r="H18" s="848">
        <f>SUBTOTAL(9,H15:H17)</f>
        <v>65</v>
      </c>
      <c r="I18" s="849">
        <f>IF(ISNUMBER(H18/B18),H18/B18," - ")</f>
        <v>10.833333333333334</v>
      </c>
      <c r="BZ18" s="1185"/>
    </row>
    <row r="19" spans="1:78" ht="14.25" thickTop="1" thickBot="1">
      <c r="A19" s="792" t="str">
        <f>Datos!A19</f>
        <v>TOTAL JURISDICCIONES</v>
      </c>
      <c r="B19" s="793">
        <f>Datos!AP19</f>
        <v>15</v>
      </c>
      <c r="C19" s="793">
        <f>Datos!AR19</f>
        <v>15</v>
      </c>
      <c r="D19" s="793">
        <f>SUBTOTAL(9,D8:D18)</f>
        <v>1414</v>
      </c>
      <c r="E19" s="794">
        <f>IF(ISNUMBER(D19/B19),D19/B19," - ")</f>
        <v>94.266666666666666</v>
      </c>
      <c r="F19" s="793">
        <f>SUBTOTAL(9,F8:F18)</f>
        <v>3650</v>
      </c>
      <c r="G19" s="794">
        <f>IF(ISNUMBER(F19/B19),F19/B19," - ")</f>
        <v>243.33333333333334</v>
      </c>
      <c r="H19" s="793">
        <f>SUBTOTAL(9,H8:H18)</f>
        <v>1698</v>
      </c>
      <c r="I19" s="794">
        <f>IF(ISNUMBER(H19/B19),H19/B19," - ")</f>
        <v>113.2</v>
      </c>
    </row>
    <row r="22" spans="1:78">
      <c r="A22" s="390" t="str">
        <f>Criterios!A4</f>
        <v>Fecha Informe: 17 mar. 2026</v>
      </c>
    </row>
    <row r="27" spans="1:78">
      <c r="A27" s="413"/>
    </row>
  </sheetData>
  <sheetProtection algorithmName="SHA-512" hashValue="/hnfls4d+8r53eW47vlktuFqTUqjKTzFl0KdCA2ub1G1wQWaJHLuQMYQ7UM+sfrhXo3C2jUV4WEs4pZr74F1iQ==" saltValue="6CyMaQbLEkvtGWUvEzqk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MATARO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2230</v>
      </c>
      <c r="C9" s="433">
        <f>IF(ISNUMBER(Datos!Q9),Datos!Q9," - ")</f>
        <v>2317</v>
      </c>
      <c r="D9" s="407">
        <f>IF(ISNUMBER(Datos!R9),Datos!R9," - ")</f>
        <v>13941</v>
      </c>
    </row>
    <row r="10" spans="1:4">
      <c r="A10" s="401" t="str">
        <f>Datos!A10</f>
        <v>Jdos. Violencia contra la mujer/Secc Viol. TI.</v>
      </c>
      <c r="B10" s="432">
        <f>IF(ISNUMBER(Datos!P10),Datos!P10," - ")</f>
        <v>13</v>
      </c>
      <c r="C10" s="433">
        <f>IF(ISNUMBER(Datos!Q10),Datos!Q10," - ")</f>
        <v>39</v>
      </c>
      <c r="D10" s="407">
        <f>IF(ISNUMBER(Datos!R10),Datos!R10," - ")</f>
        <v>163</v>
      </c>
    </row>
    <row r="11" spans="1:4">
      <c r="A11" s="401" t="str">
        <f>Datos!A11</f>
        <v xml:space="preserve">Jdos. Familia                                   </v>
      </c>
      <c r="B11" s="432">
        <f>IF(ISNUMBER(Datos!P11),Datos!P11," - ")</f>
        <v>84</v>
      </c>
      <c r="C11" s="433">
        <f>IF(ISNUMBER(Datos!Q11),Datos!Q11," - ")</f>
        <v>217</v>
      </c>
      <c r="D11" s="407">
        <f>IF(ISNUMBER(Datos!R11),Datos!R11," - ")</f>
        <v>1104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2327</v>
      </c>
      <c r="C13" s="852">
        <f>SUBTOTAL(9,C9:C12)</f>
        <v>2573</v>
      </c>
      <c r="D13" s="850">
        <f>SUBTOTAL(9,D9:D12)</f>
        <v>15208</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118</v>
      </c>
      <c r="C15" s="433">
        <f>IF(ISNUMBER(Datos!Q15),Datos!Q15," - ")</f>
        <v>116</v>
      </c>
      <c r="D15" s="407">
        <f>IF(ISNUMBER(Datos!R15),Datos!R15," - ")</f>
        <v>446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118</v>
      </c>
      <c r="C18" s="852">
        <f>SUBTOTAL(9,C15:C17)</f>
        <v>116</v>
      </c>
      <c r="D18" s="850">
        <f>SUBTOTAL(9,D15:D17)</f>
        <v>446</v>
      </c>
    </row>
    <row r="19" spans="1:4" ht="16.5" customHeight="1" thickTop="1" thickBot="1">
      <c r="A19" s="792" t="str">
        <f>Datos!A19</f>
        <v>TOTAL JURISDICCIONES</v>
      </c>
      <c r="B19" s="797">
        <f>SUBTOTAL(9,B8:B18)</f>
        <v>2445</v>
      </c>
      <c r="C19" s="798">
        <f>SUBTOTAL(9,C8:C18)</f>
        <v>2689</v>
      </c>
      <c r="D19" s="799">
        <f>SUBTOTAL(9,D8:D18)</f>
        <v>15654</v>
      </c>
    </row>
    <row r="20" spans="1:4" ht="7.5" customHeight="1"/>
    <row r="21" spans="1:4" ht="6" customHeight="1"/>
    <row r="22" spans="1:4">
      <c r="A22" s="390" t="str">
        <f>Criterios!A4</f>
        <v>Fecha Informe: 17 mar. 2026</v>
      </c>
    </row>
    <row r="27" spans="1:4">
      <c r="A27" s="413"/>
    </row>
  </sheetData>
  <sheetProtection algorithmName="SHA-512" hashValue="RvImulwRvL4kQ12oV5tQuokIU+3DQkvWAB2fGG417P5CWxLsAz0uOfqeAg2AWj5TtsQ7jMQEeHQ0ePPpqRzMlQ==" saltValue="a5Dkr3Ywhd68Bsk05j5s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MATARO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0.17651175811870101</v>
      </c>
      <c r="C9" s="455">
        <f>IF(ISNUMBER(
   IF(J_V="SI",(Datos!J9-Datos!T9)/Datos!T9,(Datos!J9+Datos!Z9-(Datos!T9+Datos!AH9))/(Datos!T9+Datos!AH9))
     ),IF(J_V="SI",(Datos!J9-Datos!T9)/Datos!T9,(Datos!J9+Datos!Z9-(Datos!T9+Datos!AH9))/(Datos!T9+Datos!AH9))," - ")</f>
        <v>-0.26255562619198985</v>
      </c>
      <c r="D9" s="455">
        <f>IF(ISNUMBER(
   IF(J_V="SI",(Datos!K9-Datos!U9)/Datos!U9,(Datos!K9+Datos!AA9-(Datos!U9+Datos!AI9))/(Datos!U9+Datos!AI9))
     ),IF(J_V="SI",(Datos!K9-Datos!U9)/Datos!U9,(Datos!K9+Datos!AA9-(Datos!U9+Datos!AI9))/(Datos!U9+Datos!AI9))," - ")</f>
        <v>-7.3601570166830221E-2</v>
      </c>
      <c r="E9" s="455">
        <f>IF(ISNUMBER(
   IF(J_V="SI",(Datos!L9-Datos!V9)/Datos!V9,(Datos!L9+Datos!AB9-(Datos!V9+Datos!AJ9))/(Datos!V9+Datos!AJ9))
     ),IF(J_V="SI",(Datos!L9-Datos!V9)/Datos!V9,(Datos!L9+Datos!AB9-(Datos!V9+Datos!AJ9))/(Datos!V9+Datos!AJ9))," - ")</f>
        <v>-4.2413960252060109E-2</v>
      </c>
      <c r="F9" s="455">
        <f>IF(ISNUMBER((Datos!M9-Datos!W9)/Datos!W9),(Datos!M9-Datos!W9)/Datos!W9," - ")</f>
        <v>-0.1263803680981595</v>
      </c>
      <c r="G9" s="456">
        <f>IF(ISNUMBER((Datos!N9-Datos!X9)/Datos!X9),(Datos!N9-Datos!X9)/Datos!X9," - ")</f>
        <v>0.10465116279069768</v>
      </c>
      <c r="H9" s="454">
        <f>IF(ISNUMBER(((NºAsuntos!G9/NºAsuntos!E9)-Datos!BD9)/Datos!BD9),((NºAsuntos!G9/NºAsuntos!E9)-Datos!BD9)/Datos!BD9," - ")</f>
        <v>0.2562282156272207</v>
      </c>
      <c r="I9" s="455">
        <f>IF(ISNUMBER(((NºAsuntos!I9/NºAsuntos!G9)-Datos!BE9)/Datos!BE9),((NºAsuntos!I9/NºAsuntos!G9)-Datos!BE9)/Datos!BE9," - ")</f>
        <v>3.3665439092320705E-2</v>
      </c>
      <c r="J9" s="460">
        <f>IF(ISNUMBER((('Resol  Asuntos'!D9/NºAsuntos!G9)-Datos!BF9)/Datos!BF9),(('Resol  Asuntos'!D9/NºAsuntos!G9)-Datos!BF9)/Datos!BF9," - ")</f>
        <v>-0.40421101037971352</v>
      </c>
      <c r="K9" s="461">
        <f>IF(ISNUMBER((((NºAsuntos!C9+NºAsuntos!E9)/NºAsuntos!G9)-Datos!BG9)/Datos!BG9),(((NºAsuntos!C9+NºAsuntos!E9)/NºAsuntos!G9)-Datos!BG9)/Datos!BG9," - ")</f>
        <v>0.12508184266442654</v>
      </c>
    </row>
    <row r="10" spans="1:11" ht="21">
      <c r="A10" s="401" t="str">
        <f>Datos!A10</f>
        <v>Jdos. Violencia contra la mujer/Secc Viol. TI.</v>
      </c>
      <c r="B10" s="454">
        <f>IF(ISNUMBER((Datos!I10-Datos!S10)/Datos!S10),(Datos!I10-Datos!S10)/Datos!S10," - ")</f>
        <v>0.1875</v>
      </c>
      <c r="C10" s="455">
        <f>IF(ISNUMBER((Datos!J10-Datos!T10)/Datos!T10),(Datos!J10-Datos!T10)/Datos!T10," - ")</f>
        <v>-0.38461538461538464</v>
      </c>
      <c r="D10" s="455">
        <f>IF(ISNUMBER((Datos!K10-Datos!U10)/Datos!U10),(Datos!K10-Datos!U10)/Datos!U10," - ")</f>
        <v>-0.35714285714285715</v>
      </c>
      <c r="E10" s="455">
        <f>IF(ISNUMBER((Datos!L10-Datos!V10)/Datos!V10),(Datos!L10-Datos!V10)/Datos!V10," - ")</f>
        <v>0.12380952380952381</v>
      </c>
      <c r="F10" s="455">
        <f>IF(ISNUMBER((Datos!M10-Datos!W10)/Datos!W10),(Datos!M10-Datos!W10)/Datos!W10," - ")</f>
        <v>1.6</v>
      </c>
      <c r="G10" s="456">
        <f>IF(ISNUMBER((Datos!N10-Datos!X10)/Datos!X10),(Datos!N10-Datos!X10)/Datos!X10," - ")</f>
        <v>-0.77272727272727271</v>
      </c>
      <c r="H10" s="454">
        <f>IF(ISNUMBER(((NºAsuntos!G10/NºAsuntos!E10)-Datos!BD10)/Datos!BD10),((NºAsuntos!G10/NºAsuntos!E10)-Datos!BD10)/Datos!BD10," - ")</f>
        <v>4.4642857142857109E-2</v>
      </c>
      <c r="I10" s="455">
        <f>IF(ISNUMBER(((NºAsuntos!I10/NºAsuntos!G10)-Datos!BE10)/Datos!BE10),((NºAsuntos!I10/NºAsuntos!G10)-Datos!BE10)/Datos!BE10," - ")</f>
        <v>0.74814814814814812</v>
      </c>
      <c r="J10" s="460">
        <f>IF(ISNUMBER((('Resol  Asuntos'!D10/NºAsuntos!G10)-Datos!BF10)/Datos!BF10),(('Resol  Asuntos'!D10/NºAsuntos!G10)-Datos!BF10)/Datos!BF10," - ")</f>
        <v>3.0444444444444443</v>
      </c>
      <c r="K10" s="461">
        <f>IF(ISNUMBER((((NºAsuntos!C10+NºAsuntos!E10)/NºAsuntos!G10)-Datos!BG10)/Datos!BG10),(((NºAsuntos!C10+NºAsuntos!E10)/NºAsuntos!G10)-Datos!BG10)/Datos!BG10," - ")</f>
        <v>0.48792270531400961</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-9.1999999999999998E-2</v>
      </c>
      <c r="C11" s="455">
        <f>IF(ISNUMBER(
   IF(J_V="SI",(Datos!J11-Datos!T11)/Datos!T11,(Datos!J11+Datos!Z11-(Datos!T11+Datos!AH11))/(Datos!T11+Datos!AH11))
     ),IF(J_V="SI",(Datos!J11-Datos!T11)/Datos!T11,(Datos!J11+Datos!Z11-(Datos!T11+Datos!AH11))/(Datos!T11+Datos!AH11))," - ")</f>
        <v>-5.9773828756058162E-2</v>
      </c>
      <c r="D11" s="455">
        <f>IF(ISNUMBER(
   IF(J_V="SI",(Datos!K11-Datos!U11)/Datos!U11,(Datos!K11+Datos!AA11-(Datos!U11+Datos!AI11))/(Datos!U11+Datos!AI11))
     ),IF(J_V="SI",(Datos!K11-Datos!U11)/Datos!U11,(Datos!K11+Datos!AA11-(Datos!U11+Datos!AI11))/(Datos!U11+Datos!AI11))," - ")</f>
        <v>-0.1797432239657632</v>
      </c>
      <c r="E11" s="455">
        <f>IF(ISNUMBER(
   IF(J_V="SI",(Datos!L11-Datos!V11)/Datos!V11,(Datos!L11+Datos!AB11-(Datos!V11+Datos!AJ11))/(Datos!V11+Datos!AJ11))
     ),IF(J_V="SI",(Datos!L11-Datos!V11)/Datos!V11,(Datos!L11+Datos!AB11-(Datos!V11+Datos!AJ11))/(Datos!V11+Datos!AJ11))," - ")</f>
        <v>-2.0547945205479451E-2</v>
      </c>
      <c r="F11" s="455">
        <f>IF(ISNUMBER((Datos!M11-Datos!W11)/Datos!W11),(Datos!M11-Datos!W11)/Datos!W11," - ")</f>
        <v>-0.27659574468085107</v>
      </c>
      <c r="G11" s="456">
        <f>IF(ISNUMBER((Datos!N11-Datos!X11)/Datos!X11),(Datos!N11-Datos!X11)/Datos!X11," - ")</f>
        <v>3.5460992907801418E-3</v>
      </c>
      <c r="H11" s="454">
        <f>IF(ISNUMBER(((NºAsuntos!G11/NºAsuntos!E11)-Datos!BD11)/Datos!BD11),((NºAsuntos!G11/NºAsuntos!E11)-Datos!BD11)/Datos!BD11," - ")</f>
        <v>-0.12759631552372397</v>
      </c>
      <c r="I11" s="455">
        <f>IF(ISNUMBER(((NºAsuntos!I11/NºAsuntos!G11)-Datos!BE11)/Datos!BE11),((NºAsuntos!I11/NºAsuntos!G11)-Datos!BE11)/Datos!BE11," - ")</f>
        <v>0.19407980941036332</v>
      </c>
      <c r="J11" s="460">
        <f>IF(ISNUMBER((('Resol  Asuntos'!D11/NºAsuntos!G11)-Datos!BF11)/Datos!BF11),(('Resol  Asuntos'!D11/NºAsuntos!G11)-Datos!BF11)/Datos!BF11," - ")</f>
        <v>-0.26506321307431385</v>
      </c>
      <c r="K11" s="461">
        <f>IF(ISNUMBER((((NºAsuntos!C11+NºAsuntos!E11)/NºAsuntos!G11)-Datos!BG11)/Datos!BG11),(((NºAsuntos!C11+NºAsuntos!E11)/NºAsuntos!G11)-Datos!BG11)/Datos!BG11," - ")</f>
        <v>0.11998232023635039</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0.13710247349823321</v>
      </c>
      <c r="C13" s="854">
        <f>IF(ISNUMBER(
   IF(J_V="SI",(Datos!J13-Datos!T13)/Datos!T13,(Datos!J13+Datos!Z13-(Datos!T13+Datos!AH13))/(Datos!T13+Datos!AH13))
     ),IF(J_V="SI",(Datos!J13-Datos!T13)/Datos!T13,(Datos!J13+Datos!Z13-(Datos!T13+Datos!AH13))/(Datos!T13+Datos!AH13))," - ")</f>
        <v>-0.23185378590078329</v>
      </c>
      <c r="D13" s="854">
        <f>IF(ISNUMBER(
   IF(J_V="SI",(Datos!K13-Datos!U13)/Datos!U13,(Datos!K13+Datos!AA13-(Datos!U13+Datos!AI13))/(Datos!U13+Datos!AI13))
     ),IF(J_V="SI",(Datos!K13-Datos!U13)/Datos!U13,(Datos!K13+Datos!AA13-(Datos!U13+Datos!AI13))/(Datos!U13+Datos!AI13))," - ")</f>
        <v>-9.7273203985317247E-2</v>
      </c>
      <c r="E13" s="854">
        <f>IF(ISNUMBER(
   IF(J_V="SI",(Datos!L13-Datos!V13)/Datos!V13,(Datos!L13+Datos!AB13-(Datos!V13+Datos!AJ13))/(Datos!V13+Datos!AJ13))
     ),IF(J_V="SI",(Datos!L13-Datos!V13)/Datos!V13,(Datos!L13+Datos!AB13-(Datos!V13+Datos!AJ13))/(Datos!V13+Datos!AJ13))," - ")</f>
        <v>-3.7900262467191602E-2</v>
      </c>
      <c r="F13" s="855">
        <f>IF(ISNUMBER((Datos!M13-Datos!W13)/Datos!W13),(Datos!M13-Datos!W13)/Datos!W13," - ")</f>
        <v>-0.15165876777251186</v>
      </c>
      <c r="G13" s="856">
        <f>IF(ISNUMBER((Datos!N13-Datos!X13)/Datos!X13),(Datos!N13-Datos!X13)/Datos!X13," - ")</f>
        <v>7.4654956085319954E-2</v>
      </c>
      <c r="H13" s="856">
        <f>IF(ISNUMBER(((NºAsuntos!G13/NºAsuntos!E13)-Datos!BD13)/Datos!BD13),((NºAsuntos!G13/NºAsuntos!E13)-Datos!BD13)/Datos!BD13," - ")</f>
        <v>0.17520177727268346</v>
      </c>
      <c r="I13" s="856">
        <f>IF(ISNUMBER(((NºAsuntos!I13/NºAsuntos!G13)-Datos!BE13)/Datos!BE13),((NºAsuntos!I13/NºAsuntos!G13)-Datos!BE13)/Datos!BE13," - ")</f>
        <v>6.5770664812701524E-2</v>
      </c>
      <c r="J13" s="856">
        <f>IF(ISNUMBER((('Resol  Asuntos'!D13/NºAsuntos!G13)-Datos!BF13)/Datos!BF13),(('Resol  Asuntos'!D13/NºAsuntos!G13)-Datos!BF13)/Datos!BF13," - ")</f>
        <v>-0.37131223581210515</v>
      </c>
      <c r="K13" s="856">
        <f>IF(ISNUMBER((((NºAsuntos!C13+NºAsuntos!E13)/NºAsuntos!G13)-Datos!BG13)/Datos!BG13),(((NºAsuntos!C13+NºAsuntos!E13)/NºAsuntos!G13)-Datos!BG13)/Datos!BG13," - ")</f>
        <v>0.13257145120345812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0.10241465445462115</v>
      </c>
      <c r="C15" s="455">
        <f>IF(ISNUMBER(
   IF(D_I="SI",(Datos!J15-Datos!T15)/Datos!T15,(Datos!J15+Datos!AD15-(Datos!T15+Datos!AL15))/(Datos!T15+Datos!AL15))
     ),IF(D_I="SI",(Datos!J15-Datos!T15)/Datos!T15,(Datos!J15+Datos!AD15-(Datos!T15+Datos!AL15))/(Datos!T15+Datos!AL15))," - ")</f>
        <v>0.27077656675749318</v>
      </c>
      <c r="D15" s="455">
        <f>IF(ISNUMBER(
   IF(D_I="SI",(Datos!K15-Datos!U15)/Datos!U15,(Datos!K15+Datos!AE15-(Datos!U15+Datos!AM15))/(Datos!U15+Datos!AM15))
     ),IF(D_I="SI",(Datos!K15-Datos!U15)/Datos!U15,(Datos!K15+Datos!AE15-(Datos!U15+Datos!AM15))/(Datos!U15+Datos!AM15))," - ")</f>
        <v>0.33752695902228613</v>
      </c>
      <c r="E15" s="455">
        <f>IF(ISNUMBER(
   IF(D_I="SI",(Datos!L15-Datos!V15)/Datos!V15,(Datos!L15+Datos!AF15-(Datos!V15+Datos!AN15))/(Datos!V15+Datos!AN15))
     ),IF(D_I="SI",(Datos!L15-Datos!V15)/Datos!V15,(Datos!L15+Datos!AF15-(Datos!V15+Datos!AN15))/(Datos!V15+Datos!AN15))," - ")</f>
        <v>6.7400000000000002E-2</v>
      </c>
      <c r="F15" s="455">
        <f>IF(ISNUMBER((Datos!M15-Datos!W15)/Datos!W15),(Datos!M15-Datos!W15)/Datos!W15," - ")</f>
        <v>0.21515892420537897</v>
      </c>
      <c r="G15" s="456">
        <f>IF(ISNUMBER((Datos!N15-Datos!X15)/Datos!X15),(Datos!N15-Datos!X15)/Datos!X15," - ")</f>
        <v>0.32105628908964556</v>
      </c>
      <c r="H15" s="454">
        <f>IF(ISNUMBER(((NºAsuntos!G15/NºAsuntos!E15)-Datos!BD15)/Datos!BD15),((NºAsuntos!G15/NºAsuntos!E15)-Datos!BD15)/Datos!BD15," - ")</f>
        <v>5.2527245159322465E-2</v>
      </c>
      <c r="I15" s="455">
        <f>IF(ISNUMBER(((NºAsuntos!I15/NºAsuntos!G15)-Datos!BE15)/Datos!BE15),((NºAsuntos!I15/NºAsuntos!G15)-Datos!BE15)/Datos!BE15," - ")</f>
        <v>-0.20196001074979841</v>
      </c>
      <c r="J15" s="460">
        <f>IF(ISNUMBER((('Resol  Asuntos'!D15/NºAsuntos!G15)-Datos!BF15)/Datos!BF15),(('Resol  Asuntos'!D15/NºAsuntos!G15)-Datos!BF15)/Datos!BF15," - ")</f>
        <v>-9.1488275426131721E-2</v>
      </c>
      <c r="K15" s="461">
        <f>IF(ISNUMBER((((NºAsuntos!C15+NºAsuntos!E15)/NºAsuntos!G15)-Datos!BG15)/Datos!BG15),(((NºAsuntos!C15+NºAsuntos!E15)/NºAsuntos!G15)-Datos!BG15)/Datos!BG15," - ")</f>
        <v>-0.12803322437704298</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0.37327188940092165</v>
      </c>
      <c r="C17" s="455">
        <f>IF(ISNUMBER(
   IF(D_I="SI",(Datos!J17-Datos!T17)/Datos!T17,(Datos!J17+Datos!AD17-(Datos!T17+Datos!AL17))/(Datos!T17+Datos!AL17))
     ),IF(D_I="SI",(Datos!J17-Datos!T17)/Datos!T17,(Datos!J17+Datos!AD17-(Datos!T17+Datos!AL17))/(Datos!T17+Datos!AL17))," - ")</f>
        <v>3.3613445378151259E-2</v>
      </c>
      <c r="D17" s="455">
        <f>IF(ISNUMBER(
   IF(D_I="SI",(Datos!K17-Datos!U17)/Datos!U17,(Datos!K17+Datos!AE17-(Datos!U17+Datos!AM17))/(Datos!U17+Datos!AM17))
     ),IF(D_I="SI",(Datos!K17-Datos!U17)/Datos!U17,(Datos!K17+Datos!AE17-(Datos!U17+Datos!AM17))/(Datos!U17+Datos!AM17))," - ")</f>
        <v>-0.31707317073170732</v>
      </c>
      <c r="E17" s="455">
        <f>IF(ISNUMBER(
   IF(D_I="SI",(Datos!L17-Datos!V17)/Datos!V17,(Datos!L17+Datos!AF17-(Datos!V17+Datos!AN17))/(Datos!V17+Datos!AN17))
     ),IF(D_I="SI",(Datos!L17-Datos!V17)/Datos!V17,(Datos!L17+Datos!AF17-(Datos!V17+Datos!AN17))/(Datos!V17+Datos!AN17))," - ")</f>
        <v>0.50321199143468953</v>
      </c>
      <c r="F17" s="455">
        <f>IF(ISNUMBER((Datos!M17-Datos!W17)/Datos!W17),(Datos!M17-Datos!W17)/Datos!W17," - ")</f>
        <v>0.83333333333333337</v>
      </c>
      <c r="G17" s="456">
        <f>IF(ISNUMBER((Datos!N17-Datos!X17)/Datos!X17),(Datos!N17-Datos!X17)/Datos!X17," - ")</f>
        <v>-0.59090909090909094</v>
      </c>
      <c r="H17" s="454">
        <f>IF(ISNUMBER(((NºAsuntos!G17/NºAsuntos!E17)-Datos!BD17)/Datos!BD17),((NºAsuntos!G17/NºAsuntos!E17)-Datos!BD17)/Datos!BD17," - ")</f>
        <v>-0.33928217330953803</v>
      </c>
      <c r="I17" s="455">
        <f>IF(ISNUMBER(((NºAsuntos!I17/NºAsuntos!G17)-Datos!BE17)/Datos!BE17),((NºAsuntos!I17/NºAsuntos!G17)-Datos!BE17)/Datos!BE17," - ")</f>
        <v>1.2011318446007955</v>
      </c>
      <c r="J17" s="460">
        <f>IF(ISNUMBER((('Resol  Asuntos'!D17/NºAsuntos!G17)-Datos!BF17)/Datos!BF17),(('Resol  Asuntos'!D17/NºAsuntos!G17)-Datos!BF17)/Datos!BF17," - ")</f>
        <v>1.6845238095238095</v>
      </c>
      <c r="K17" s="461">
        <f>IF(ISNUMBER((((NºAsuntos!C17+NºAsuntos!E17)/NºAsuntos!G17)-Datos!BG17)/Datos!BG17),(((NºAsuntos!C17+NºAsuntos!E17)/NºAsuntos!G17)-Datos!BG17)/Datos!BG17," - ")</f>
        <v>0.83471513605442182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0.12485681557846506</v>
      </c>
      <c r="C18" s="854">
        <f>IF(ISNUMBER(
   IF(Criterios!B14="SI",(Datos!J18-Datos!T18)/Datos!T18,(Datos!J18+Datos!AD18-(Datos!T18+Datos!AL18))/(Datos!T18+Datos!AL18))
     ),IF(Criterios!B14="SI",(Datos!J18-Datos!T18)/Datos!T18,(Datos!J18+Datos!AD18-(Datos!T18+Datos!AL18))/(Datos!T18+Datos!AL18))," - ")</f>
        <v>0.25299306868304977</v>
      </c>
      <c r="D18" s="854">
        <f>IF(ISNUMBER(
   IF(Criterios!B14="SI",(Datos!K18-Datos!U18)/Datos!U18,(Datos!K18+Datos!AE18-(Datos!U18+Datos!AM18))/(Datos!U18+Datos!AM18))
     ),IF(Criterios!B14="SI",(Datos!K18-Datos!U18)/Datos!U18,(Datos!K18+Datos!AE18-(Datos!U18+Datos!AM18))/(Datos!U18+Datos!AM18))," - ")</f>
        <v>0.29260127217944426</v>
      </c>
      <c r="E18" s="854">
        <f>IF(ISNUMBER(
   IF(Criterios!B14="SI",(Datos!L18-Datos!V18)/Datos!V18,(Datos!L18+Datos!AF18-(Datos!V18+Datos!AN18))/(Datos!V18+Datos!AN18))
     ),IF(Criterios!B14="SI",(Datos!L18-Datos!V18)/Datos!V18,(Datos!L18+Datos!AF18-(Datos!V18+Datos!AN18))/(Datos!V18+Datos!AN18))," - ")</f>
        <v>0.10462776659959759</v>
      </c>
      <c r="F18" s="855">
        <f>IF(ISNUMBER((Datos!M18-Datos!W18)/Datos!W18),(Datos!M18-Datos!W18)/Datos!W18," - ")</f>
        <v>0.23277909738717339</v>
      </c>
      <c r="G18" s="856">
        <f>IF(ISNUMBER((Datos!N18-Datos!X18)/Datos!X18),(Datos!N18-Datos!X18)/Datos!X18," - ")</f>
        <v>0.2685003274394237</v>
      </c>
      <c r="H18" s="856">
        <f>IF(ISNUMBER(((NºAsuntos!G18/NºAsuntos!E18)-Datos!BD18)/Datos!BD18),((NºAsuntos!G18/NºAsuntos!E18)-Datos!BD18)/Datos!BD18," - ")</f>
        <v>3.1610871988321923E-2</v>
      </c>
      <c r="I18" s="856">
        <f>IF(ISNUMBER(((NºAsuntos!I18/NºAsuntos!G18)-Datos!BE18)/Datos!BE18),((NºAsuntos!I18/NºAsuntos!G18)-Datos!BE18)/Datos!BE18," - ")</f>
        <v>-0.14542265246490602</v>
      </c>
      <c r="J18" s="856">
        <f>IF(ISNUMBER((('Resol  Asuntos'!D18/NºAsuntos!G18)-Datos!BF18)/Datos!BF18),(('Resol  Asuntos'!D18/NºAsuntos!G18)-Datos!BF18)/Datos!BF18," - ")</f>
        <v>-4.6280454831523668E-2</v>
      </c>
      <c r="K18" s="856">
        <f>IF(ISNUMBER((((NºAsuntos!C18+NºAsuntos!E18)/NºAsuntos!G18)-Datos!BG18)/Datos!BG18),(((NºAsuntos!C18+NºAsuntos!E18)/NºAsuntos!G18)-Datos!BG18)/Datos!BG18," - ")</f>
        <v>-9.2369030909211544E-2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0.13243006993006992</v>
      </c>
      <c r="C19" s="801">
        <f>IF(ISNUMBER(
   IF(J_V="SI",(Datos!J19-Datos!T19)/Datos!T19,(Datos!J19+Datos!Z19-(Datos!T19+Datos!AH19))/(Datos!T19+Datos!AH19))
     ),IF(J_V="SI",(Datos!J19-Datos!T19)/Datos!T19,(Datos!J19+Datos!Z19-(Datos!T19+Datos!AH19))/(Datos!T19+Datos!AH19))," - ")</f>
        <v>-1.2135922330097087E-2</v>
      </c>
      <c r="D19" s="801">
        <f>IF(ISNUMBER(
   IF(J_V="SI",(Datos!K19-Datos!U19)/Datos!U19,(Datos!K19+Datos!AA19-(Datos!U19+Datos!AI19))/(Datos!U19+Datos!AI19))
     ),IF(J_V="SI",(Datos!K19-Datos!U19)/Datos!U19,(Datos!K19+Datos!AA19-(Datos!U19+Datos!AI19))/(Datos!U19+Datos!AI19))," - ")</f>
        <v>7.3959711807087186E-2</v>
      </c>
      <c r="E19" s="801">
        <f>IF(ISNUMBER(
   IF(J_V="SI",(Datos!L19-Datos!V19)/Datos!V19,(Datos!L19+Datos!AB19-(Datos!V19+Datos!AJ19))/(Datos!V19+Datos!AJ19))
     ),IF(J_V="SI",(Datos!L19-Datos!V19)/Datos!V19,(Datos!L19+Datos!AB19-(Datos!V19+Datos!AJ19))/(Datos!V19+Datos!AJ19))," - ")</f>
        <v>1.4074172892209177E-2</v>
      </c>
      <c r="F19" s="802">
        <f>IF(ISNUMBER((Datos!M19-Datos!W19)/Datos!W19),(Datos!M19-Datos!W19)/Datos!W19," - ")</f>
        <v>-4.2005420054200542E-2</v>
      </c>
      <c r="G19" s="803">
        <f>IF(ISNUMBER((Datos!N19-Datos!X19)/Datos!X19),(Datos!N19-Datos!X19)/Datos!X19," - ")</f>
        <v>0.16949695610381288</v>
      </c>
      <c r="H19" s="804">
        <f>IF(ISNUMBER((Tasas!B19-Datos!BD19)/Datos!BD19),(Tasas!B19-Datos!BD19)/Datos!BD19," - ")</f>
        <v>8.7153320060245551E-2</v>
      </c>
      <c r="I19" s="805">
        <f>IF(ISNUMBER((Tasas!C19-Datos!BE19)/Datos!BE19),(Tasas!C19-Datos!BE19)/Datos!BE19," - ")</f>
        <v>-5.5761438959486126E-2</v>
      </c>
      <c r="J19" s="806">
        <f>IF(ISNUMBER((Tasas!D19-Datos!BF19)/Datos!BF19),(Tasas!D19-Datos!BF19)/Datos!BF19," - ")</f>
        <v>-0.34102955639100208</v>
      </c>
      <c r="K19" s="806">
        <f>IF(ISNUMBER((Tasas!E19-Datos!BG19)/Datos!BG19),(Tasas!E19-Datos!BG19)/Datos!BG19," - ")</f>
        <v>8.9676295028041954E-3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4KSAQFxDaa6H3y0yDjGTbQcBRrbislcx4iJHU3Mi3Nr3c90uiiotdZmJYGEj59Xr6dP+WxKg3PRXVTMcQdc2/g==" saltValue="1HQ3d/Js6bqjw9tgtG50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MATARO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1.2206896551724138</v>
      </c>
      <c r="C9" s="442">
        <f>IF(ISNUMBER(NºAsuntos!I9/NºAsuntos!G9),NºAsuntos!I9/NºAsuntos!G9," - ")</f>
        <v>2.7902542372881354</v>
      </c>
      <c r="D9" s="443">
        <f>IF(ISNUMBER('Resol  Asuntos'!D9/NºAsuntos!G9),'Resol  Asuntos'!D9/NºAsuntos!G9," - ")</f>
        <v>0.25141242937853109</v>
      </c>
      <c r="E9" s="444">
        <f>IF(ISNUMBER((NºAsuntos!C9+NºAsuntos!E9)/NºAsuntos!G9),(NºAsuntos!C9+NºAsuntos!E9)/NºAsuntos!G9," - ")</f>
        <v>3.7870762711864407</v>
      </c>
      <c r="G9" s="462"/>
    </row>
    <row r="10" spans="1:7" ht="21">
      <c r="A10" s="401" t="str">
        <f>Datos!A10</f>
        <v>Jdos. Violencia contra la mujer/Secc Viol. TI.</v>
      </c>
      <c r="B10" s="441">
        <f>IF(ISNUMBER(NºAsuntos!G10/NºAsuntos!E10),NºAsuntos!G10/NºAsuntos!E10," - ")</f>
        <v>0.9</v>
      </c>
      <c r="C10" s="442">
        <f>IF(ISNUMBER(NºAsuntos!I10/NºAsuntos!G10),NºAsuntos!I10/NºAsuntos!G10," - ")</f>
        <v>3.2777777777777777</v>
      </c>
      <c r="D10" s="443">
        <f>IF(ISNUMBER('Resol  Asuntos'!D10/NºAsuntos!G10),'Resol  Asuntos'!D10/NºAsuntos!G10," - ")</f>
        <v>0.3611111111111111</v>
      </c>
      <c r="E10" s="444">
        <f>IF(ISNUMBER((NºAsuntos!C10+NºAsuntos!E10)/NºAsuntos!G10),(NºAsuntos!C10+NºAsuntos!E10)/NºAsuntos!G10," - ")</f>
        <v>4.2777777777777777</v>
      </c>
      <c r="G10" s="462"/>
    </row>
    <row r="11" spans="1:7">
      <c r="A11" s="401" t="str">
        <f>Datos!A11</f>
        <v xml:space="preserve">Jdos. Familia                                   </v>
      </c>
      <c r="B11" s="441">
        <f>IF(ISNUMBER(NºAsuntos!G11/NºAsuntos!E11),NºAsuntos!G11/NºAsuntos!E11," - ")</f>
        <v>0.98797250859106533</v>
      </c>
      <c r="C11" s="442">
        <f>IF(ISNUMBER(NºAsuntos!I11/NºAsuntos!G11),NºAsuntos!I11/NºAsuntos!G11," - ")</f>
        <v>1.9895652173913043</v>
      </c>
      <c r="D11" s="443">
        <f>IF(ISNUMBER('Resol  Asuntos'!D11/NºAsuntos!G11),'Resol  Asuntos'!D11/NºAsuntos!G11," - ")</f>
        <v>0.29565217391304349</v>
      </c>
      <c r="E11" s="444">
        <f>IF(ISNUMBER((NºAsuntos!C11+NºAsuntos!E11)/NºAsuntos!G11),(NºAsuntos!C11+NºAsuntos!E11)/NºAsuntos!G11," - ")</f>
        <v>2.9860869565217389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1.1702923181509177</v>
      </c>
      <c r="C13" s="858">
        <f>IF(ISNUMBER(NºAsuntos!I13/NºAsuntos!G13),NºAsuntos!I13/NºAsuntos!G13," - ")</f>
        <v>2.661632297415045</v>
      </c>
      <c r="D13" s="859">
        <f>IF(ISNUMBER('Resol  Asuntos'!D13/NºAsuntos!G13),'Resol  Asuntos'!D13/NºAsuntos!G13," - ")</f>
        <v>0.25994772001161776</v>
      </c>
      <c r="E13" s="860">
        <f>IF(ISNUMBER((NºAsuntos!C13+NºAsuntos!E13)/NºAsuntos!G13),(NºAsuntos!C13+NºAsuntos!E13)/NºAsuntos!G13," - ")</f>
        <v>3.6584374092361314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0.99731975341731438</v>
      </c>
      <c r="C15" s="442">
        <f>IF(ISNUMBER(NºAsuntos!I15/NºAsuntos!G15),NºAsuntos!I15/NºAsuntos!G15," - ")</f>
        <v>1.4342918570276808</v>
      </c>
      <c r="D15" s="443">
        <f>IF(ISNUMBER('Resol  Asuntos'!D15/NºAsuntos!G15),'Resol  Asuntos'!D15/NºAsuntos!G15," - ")</f>
        <v>0.13356624563289438</v>
      </c>
      <c r="E15" s="444">
        <f>IF(ISNUMBER((NºAsuntos!C15+NºAsuntos!E15)/NºAsuntos!G15),(NºAsuntos!C15+NºAsuntos!E15)/NºAsuntos!G15," - ")</f>
        <v>2.4259607632356892</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0.56910569105691056</v>
      </c>
      <c r="C17" s="442">
        <f>IF(ISNUMBER(NºAsuntos!I17/NºAsuntos!G17),NºAsuntos!I17/NºAsuntos!G17," - ")</f>
        <v>5.0142857142857142</v>
      </c>
      <c r="D17" s="443">
        <f>IF(ISNUMBER('Resol  Asuntos'!D17/NºAsuntos!G17),'Resol  Asuntos'!D17/NºAsuntos!G17," - ")</f>
        <v>0.15714285714285714</v>
      </c>
      <c r="E17" s="444">
        <f>IF(ISNUMBER((NºAsuntos!C17+NºAsuntos!E17)/NºAsuntos!G17),(NºAsuntos!C17+NºAsuntos!E17)/NºAsuntos!G17," - ")</f>
        <v>6.0142857142857142</v>
      </c>
      <c r="G17" s="462"/>
    </row>
    <row r="18" spans="1:7" ht="14.25" thickTop="1" thickBot="1">
      <c r="A18" s="847" t="str">
        <f>Datos!A18</f>
        <v>TOTAL</v>
      </c>
      <c r="B18" s="857">
        <f>IF(ISNUMBER(NºAsuntos!G18/NºAsuntos!E18),NºAsuntos!G18/NºAsuntos!E18," - ")</f>
        <v>0.97083228564244406</v>
      </c>
      <c r="C18" s="858">
        <f>IF(ISNUMBER(NºAsuntos!I18/NºAsuntos!G18),NºAsuntos!I18/NºAsuntos!G18," - ")</f>
        <v>1.5641025641025641</v>
      </c>
      <c r="D18" s="861">
        <f>IF(ISNUMBER('Resol  Asuntos'!D18/NºAsuntos!G18),'Resol  Asuntos'!D18/NºAsuntos!G18," - ")</f>
        <v>0.13442113442113443</v>
      </c>
      <c r="E18" s="860">
        <f>IF(ISNUMBER((NºAsuntos!C18+NºAsuntos!E18)/NºAsuntos!G18),(NºAsuntos!C18+NºAsuntos!E18)/NºAsuntos!G18," - ")</f>
        <v>2.5560735560735561</v>
      </c>
      <c r="G18" s="462"/>
    </row>
    <row r="19" spans="1:7" ht="15.75" customHeight="1" thickTop="1" thickBot="1">
      <c r="A19" s="792" t="str">
        <f>Datos!A19</f>
        <v>TOTAL JURISDICCIONES</v>
      </c>
      <c r="B19" s="807">
        <f>IF(ISNUMBER(NºAsuntos!G19/NºAsuntos!E19),NºAsuntos!G19/NºAsuntos!E19," - ")</f>
        <v>1.0556438791732909</v>
      </c>
      <c r="C19" s="808">
        <f>IF(ISNUMBER(NºAsuntos!I19/NºAsuntos!G19),NºAsuntos!I19/NºAsuntos!G19," - ")</f>
        <v>2.0814622124863087</v>
      </c>
      <c r="D19" s="809">
        <f>IF(ISNUMBER('Resol  Asuntos'!D19/NºAsuntos!G19),'Resol  Asuntos'!D19/NºAsuntos!G19," - ")</f>
        <v>0.19359255202628697</v>
      </c>
      <c r="E19" s="810">
        <f>IF(ISNUMBER((NºAsuntos!C19+NºAsuntos!E19)/NºAsuntos!G19),(NºAsuntos!C19+NºAsuntos!E19)/NºAsuntos!G19," - ")</f>
        <v>3.0757119386637459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cQ/vNGwcn8NhWPHSEU87GlAy5D2AEUnCUDWlubZYbQaK1i9Re7S13yY3nqBMGiutzrKt9SefZCsf5HAI18ssw==" saltValue="972Bj6Idp3ILACHfn2UO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MATARO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2230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2317</v>
      </c>
      <c r="Y9" s="333">
        <f>SUM(W9:X9)</f>
        <v>2317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13941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712</v>
      </c>
      <c r="AJ9" s="228" t="str">
        <f>IF(ISNUMBER(Datos!BW9),Datos!BW9," - ")</f>
        <v xml:space="preserve"> - </v>
      </c>
      <c r="AK9" s="227" t="str">
        <f>IF(ISNUMBER(Datos!BX9),Datos!BX9," - ")</f>
        <v xml:space="preserve"> - </v>
      </c>
      <c r="AL9" s="242">
        <f>IF(ISNUMBER(NºAsuntos!G9/NºAsuntos!E9),NºAsuntos!G9/NºAsuntos!E9," - ")</f>
        <v>1.2206896551724138</v>
      </c>
      <c r="AM9" s="259">
        <f>IF(ISNUMBER(((NºAsuntos!I9/NºAsuntos!G9)*11)/factor_trimestre),((NºAsuntos!I9/NºAsuntos!G9)*11)/factor_trimestre," - ")</f>
        <v>8.3707627118644066</v>
      </c>
      <c r="AN9" s="243">
        <f>IF(ISNUMBER('Resol  Asuntos'!D9/NºAsuntos!G9),'Resol  Asuntos'!D9/NºAsuntos!G9," - ")</f>
        <v>0.25141242937853109</v>
      </c>
      <c r="AO9" s="244">
        <f>IF(ISNUMBER((NºAsuntos!C9+NºAsuntos!E9)/NºAsuntos!G9),(NºAsuntos!C9+NºAsuntos!E9)/NºAsuntos!G9," - ")</f>
        <v>3.7870762711864407</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114</v>
      </c>
      <c r="G10" s="332">
        <f>IF(ISNUMBER(Datos!I10),Datos!I10," - ")</f>
        <v>114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36</v>
      </c>
      <c r="X10" s="225">
        <f>IF(ISNUMBER(Datos!Q10),Datos!Q10," - ")</f>
        <v>39</v>
      </c>
      <c r="Y10" s="333">
        <f t="shared" ref="Y10:Y12" si="0">SUM(W10:X10)</f>
        <v>75</v>
      </c>
      <c r="Z10" s="334" t="str">
        <f>IF(ISNUMBER(Datos!CC10),Datos!CC10," - ")</f>
        <v xml:space="preserve"> - </v>
      </c>
      <c r="AA10" s="331">
        <f>IF(ISNUMBER(Datos!L10),Datos!L10,"-")</f>
        <v>118</v>
      </c>
      <c r="AB10" s="333">
        <f>IF(ISNUMBER(Datos!R10),Datos!R10," - ")</f>
        <v>163</v>
      </c>
      <c r="AC10" s="333">
        <f t="shared" ref="AC10:AC12" si="1">IF(ISNUMBER(AA10+AB10),AA10+AB10," - ")</f>
        <v>281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0.9</v>
      </c>
      <c r="AM10" s="259">
        <f>IF(ISNUMBER(((NºAsuntos!I10/NºAsuntos!G10)*11)/factor_trimestre),((NºAsuntos!I10/NºAsuntos!G10)*11)/factor_trimestre," - ")</f>
        <v>9.8333333333333339</v>
      </c>
      <c r="AN10" s="243">
        <f>IF(ISNUMBER('Resol  Asuntos'!D10/NºAsuntos!G10),'Resol  Asuntos'!D10/NºAsuntos!G10," - ")</f>
        <v>0.3611111111111111</v>
      </c>
      <c r="AO10" s="244">
        <f>IF(ISNUMBER((NºAsuntos!C10+NºAsuntos!E10)/NºAsuntos!G10),(NºAsuntos!C10+NºAsuntos!E10)/NºAsuntos!G10," - ")</f>
        <v>4.2777777777777777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84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217</v>
      </c>
      <c r="Y11" s="333">
        <f t="shared" si="0"/>
        <v>217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1104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170</v>
      </c>
      <c r="AJ11" s="230" t="str">
        <f>IF(ISNUMBER(Datos!BW11),Datos!BW11," - ")</f>
        <v xml:space="preserve"> - </v>
      </c>
      <c r="AK11" s="231" t="str">
        <f>IF(ISNUMBER(Datos!BX11),Datos!BX11," - ")</f>
        <v xml:space="preserve"> - </v>
      </c>
      <c r="AL11" s="242">
        <f>IF(ISNUMBER(NºAsuntos!G11/NºAsuntos!E11),NºAsuntos!G11/NºAsuntos!E11," - ")</f>
        <v>0.98797250859106533</v>
      </c>
      <c r="AM11" s="259">
        <f>IF(ISNUMBER(((NºAsuntos!I11/NºAsuntos!G11)*11)/factor_trimestre),((NºAsuntos!I11/NºAsuntos!G11)*11)/factor_trimestre," - ")</f>
        <v>5.9686956521739134</v>
      </c>
      <c r="AN11" s="243">
        <f>IF(ISNUMBER('Resol  Asuntos'!D11/NºAsuntos!G11),'Resol  Asuntos'!D11/NºAsuntos!G11," - ")</f>
        <v>0.29565217391304349</v>
      </c>
      <c r="AO11" s="244">
        <f>IF(ISNUMBER((NºAsuntos!C11+NºAsuntos!E11)/NºAsuntos!G11),(NºAsuntos!C11+NºAsuntos!E11)/NºAsuntos!G11," - ")</f>
        <v>2.9860869565217389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114</v>
      </c>
      <c r="G13" s="865">
        <f t="shared" si="3"/>
        <v>114</v>
      </c>
      <c r="H13" s="864">
        <f t="shared" si="3"/>
        <v>0</v>
      </c>
      <c r="I13" s="866">
        <f t="shared" si="3"/>
        <v>0</v>
      </c>
      <c r="J13" s="866">
        <f t="shared" si="3"/>
        <v>0</v>
      </c>
      <c r="K13" s="866">
        <f t="shared" si="3"/>
        <v>0</v>
      </c>
      <c r="L13" s="866">
        <f t="shared" si="3"/>
        <v>2327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36</v>
      </c>
      <c r="X13" s="866">
        <f t="shared" si="4"/>
        <v>2573</v>
      </c>
      <c r="Y13" s="867">
        <f t="shared" si="4"/>
        <v>2609</v>
      </c>
      <c r="Z13" s="867">
        <f t="shared" si="4"/>
        <v>0</v>
      </c>
      <c r="AA13" s="867">
        <f t="shared" si="4"/>
        <v>118</v>
      </c>
      <c r="AB13" s="867">
        <f t="shared" si="4"/>
        <v>15208</v>
      </c>
      <c r="AC13" s="867">
        <f t="shared" si="4"/>
        <v>281</v>
      </c>
      <c r="AD13" s="867">
        <f t="shared" si="4"/>
        <v>0</v>
      </c>
      <c r="AE13" s="871">
        <f t="shared" si="4"/>
        <v>0</v>
      </c>
      <c r="AF13" s="864">
        <f t="shared" si="4"/>
        <v>0</v>
      </c>
      <c r="AG13" s="872">
        <f t="shared" si="4"/>
        <v>0</v>
      </c>
      <c r="AH13" s="869">
        <f t="shared" si="4"/>
        <v>0</v>
      </c>
      <c r="AI13" s="864">
        <f t="shared" si="4"/>
        <v>895</v>
      </c>
      <c r="AJ13" s="866">
        <f t="shared" si="4"/>
        <v>0</v>
      </c>
      <c r="AK13" s="869">
        <f>SUBTOTAL(9,AK9:AK12)</f>
        <v>0</v>
      </c>
      <c r="AL13" s="873">
        <f>IF(ISNUMBER(NºAsuntos!G13/NºAsuntos!E13),NºAsuntos!G13/NºAsuntos!E13," - ")</f>
        <v>1.1702923181509177</v>
      </c>
      <c r="AM13" s="873">
        <f>IF(ISNUMBER(((NºAsuntos!I13/NºAsuntos!G13)*11)/factor_trimestre),((NºAsuntos!I13/NºAsuntos!G13)*11)/factor_trimestre," - ")</f>
        <v>7.9848968922451355</v>
      </c>
      <c r="AN13" s="874">
        <f>IF(ISNUMBER('Resol  Asuntos'!D13/NºAsuntos!G13),'Resol  Asuntos'!D13/NºAsuntos!G13," - ")</f>
        <v>0.25994772001161776</v>
      </c>
      <c r="AO13" s="875">
        <f>IF(ISNUMBER((NºAsuntos!C13+NºAsuntos!E13)/NºAsuntos!G13),(NºAsuntos!C13+NºAsuntos!E13)/NºAsuntos!G13," - ")</f>
        <v>3.6584374092361314</v>
      </c>
      <c r="AP13" s="876" t="str">
        <f t="shared" si="2"/>
        <v xml:space="preserve"> - </v>
      </c>
      <c r="AQ13" s="876">
        <f>IF(ISNUMBER((H13-W13+K13)/(F13)),(H13-W13+K13)/(F13)," - ")</f>
        <v>-0.31578947368421051</v>
      </c>
      <c r="AR13" s="877">
        <f>IF(ISNUMBER((Datos!P13-Datos!Q13)/(Datos!R13-Datos!P13+Datos!Q13)),(Datos!P13-Datos!Q13)/(Datos!R13-Datos!P13+Datos!Q13)," - ")</f>
        <v>-1.5918208877960398E-2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5327</v>
      </c>
      <c r="G15" s="332">
        <f>IF(ISNUMBER(IF(D_I="SI",Datos!I15,Datos!I15+Datos!AC15)),IF(D_I="SI",Datos!I15,Datos!I15+Datos!AC15)," - ")</f>
        <v>5296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3721</v>
      </c>
      <c r="X15" s="225">
        <f>IF(ISNUMBER(Datos!Q15),Datos!Q15," - ")</f>
        <v>116</v>
      </c>
      <c r="Y15" s="333">
        <f>SUM(W15)</f>
        <v>3721</v>
      </c>
      <c r="Z15" s="334" t="str">
        <f>IF(ISNUMBER(Datos!CC15),Datos!CC15," - ")</f>
        <v xml:space="preserve"> - </v>
      </c>
      <c r="AA15" s="331">
        <f>IF(ISNUMBER(IF(D_I="SI",Datos!L15,Datos!L15+Datos!AF15)),IF(D_I="SI",Datos!L15,Datos!L15+Datos!AF15)," - ")</f>
        <v>5337</v>
      </c>
      <c r="AB15" s="333">
        <f>IF(ISNUMBER(Datos!R15),Datos!R15," - ")</f>
        <v>446</v>
      </c>
      <c r="AC15" s="333">
        <f t="shared" ref="AC15:AC17" si="6">IF(ISNUMBER(AA15+AB15),AA15+AB15," - ")</f>
        <v>5783</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497</v>
      </c>
      <c r="AJ15" s="230" t="str">
        <f>IF(ISNUMBER(Datos!BW15),Datos!BW15," - ")</f>
        <v xml:space="preserve"> - </v>
      </c>
      <c r="AK15" s="231" t="str">
        <f>IF(ISNUMBER(Datos!BX15),Datos!BX15," - ")</f>
        <v xml:space="preserve"> - </v>
      </c>
      <c r="AL15" s="242">
        <f>IF(ISNUMBER(NºAsuntos!G15/NºAsuntos!E15),NºAsuntos!G15/NºAsuntos!E15," - ")</f>
        <v>0.99731975341731438</v>
      </c>
      <c r="AM15" s="259">
        <f>IF(ISNUMBER(((NºAsuntos!I15/NºAsuntos!G15)*11)/factor_trimestre),((NºAsuntos!I15/NºAsuntos!G15)*11)/factor_trimestre," - ")</f>
        <v>4.3028755710830424</v>
      </c>
      <c r="AN15" s="243">
        <f>IF(ISNUMBER('Resol  Asuntos'!D15/NºAsuntos!G15),'Resol  Asuntos'!D15/NºAsuntos!G15," - ")</f>
        <v>0.13356624563289438</v>
      </c>
      <c r="AO15" s="244">
        <f>IF(ISNUMBER((NºAsuntos!C15+NºAsuntos!E15)/NºAsuntos!G15),(NºAsuntos!C15+NºAsuntos!E15)/NºAsuntos!G15," - ")</f>
        <v>2.4259607632356892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596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140</v>
      </c>
      <c r="X17" s="225">
        <f>IF(ISNUMBER(Datos!Q17),Datos!Q17," - ")</f>
        <v>0</v>
      </c>
      <c r="Y17" s="333">
        <f t="shared" si="7"/>
        <v>140</v>
      </c>
      <c r="Z17" s="334" t="str">
        <f>IF(ISNUMBER(Datos!CC17),Datos!CC17," - ")</f>
        <v xml:space="preserve"> - </v>
      </c>
      <c r="AA17" s="331">
        <f>IF(ISNUMBER(Datos!L17),Datos!L17,"-")</f>
        <v>702</v>
      </c>
      <c r="AB17" s="333">
        <f>IF(ISNUMBER(Datos!R17),Datos!R17," - ")</f>
        <v>0</v>
      </c>
      <c r="AC17" s="333">
        <f t="shared" si="6"/>
        <v>702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0.56910569105691056</v>
      </c>
      <c r="AM17" s="259">
        <f>IF(ISNUMBER(((NºAsuntos!I17/NºAsuntos!G17)*11)/factor_trimestre),((NºAsuntos!I17/NºAsuntos!G17)*11)/factor_trimestre," - ")</f>
        <v>15.042857142857144</v>
      </c>
      <c r="AN17" s="243">
        <f>IF(ISNUMBER('Resol  Asuntos'!D17/NºAsuntos!G17),'Resol  Asuntos'!D17/NºAsuntos!G17," - ")</f>
        <v>0.15714285714285714</v>
      </c>
      <c r="AO17" s="244">
        <f>IF(ISNUMBER((NºAsuntos!C17+NºAsuntos!E17)/NºAsuntos!G17),(NºAsuntos!C17+NºAsuntos!E17)/NºAsuntos!G17," - ")</f>
        <v>6.0142857142857142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5327</v>
      </c>
      <c r="G18" s="865">
        <f>SUBTOTAL(9,G15:G17)</f>
        <v>5892</v>
      </c>
      <c r="H18" s="864">
        <f t="shared" ref="H18:O18" si="10">SUBTOTAL(9,H14:H17)</f>
        <v>0</v>
      </c>
      <c r="I18" s="866">
        <f t="shared" si="10"/>
        <v>0</v>
      </c>
      <c r="J18" s="866">
        <f t="shared" si="10"/>
        <v>0</v>
      </c>
      <c r="K18" s="866">
        <f t="shared" si="10"/>
        <v>0</v>
      </c>
      <c r="L18" s="866">
        <f t="shared" si="10"/>
        <v>118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3861</v>
      </c>
      <c r="X18" s="866">
        <f t="shared" si="11"/>
        <v>116</v>
      </c>
      <c r="Y18" s="867">
        <f t="shared" si="11"/>
        <v>3861</v>
      </c>
      <c r="Z18" s="867">
        <f t="shared" si="11"/>
        <v>0</v>
      </c>
      <c r="AA18" s="867">
        <f t="shared" si="11"/>
        <v>6039</v>
      </c>
      <c r="AB18" s="867">
        <f t="shared" si="11"/>
        <v>446</v>
      </c>
      <c r="AC18" s="867">
        <f t="shared" si="11"/>
        <v>6485</v>
      </c>
      <c r="AD18" s="867">
        <f t="shared" si="11"/>
        <v>0</v>
      </c>
      <c r="AE18" s="871">
        <f t="shared" si="11"/>
        <v>0</v>
      </c>
      <c r="AF18" s="864">
        <f t="shared" si="11"/>
        <v>0</v>
      </c>
      <c r="AG18" s="872">
        <f t="shared" si="11"/>
        <v>0</v>
      </c>
      <c r="AH18" s="869">
        <f t="shared" si="11"/>
        <v>0</v>
      </c>
      <c r="AI18" s="864">
        <f t="shared" si="11"/>
        <v>519</v>
      </c>
      <c r="AJ18" s="866">
        <f t="shared" si="11"/>
        <v>0</v>
      </c>
      <c r="AK18" s="869">
        <f t="shared" si="11"/>
        <v>0</v>
      </c>
      <c r="AL18" s="873">
        <f>IF(ISNUMBER(NºAsuntos!G18/NºAsuntos!E18),NºAsuntos!G18/NºAsuntos!E18," - ")</f>
        <v>0.97083228564244406</v>
      </c>
      <c r="AM18" s="873">
        <f>IF(ISNUMBER(((NºAsuntos!I18/NºAsuntos!G18)*11)/factor_trimestre),((NºAsuntos!I18/NºAsuntos!G18)*11)/factor_trimestre," - ")</f>
        <v>4.6923076923076925</v>
      </c>
      <c r="AN18" s="874">
        <f>IF(ISNUMBER('Resol  Asuntos'!D18/NºAsuntos!G18),'Resol  Asuntos'!D18/NºAsuntos!G18," - ")</f>
        <v>0.13442113442113443</v>
      </c>
      <c r="AO18" s="875">
        <f>IF(ISNUMBER((NºAsuntos!C18+NºAsuntos!E18)/NºAsuntos!G18),(NºAsuntos!C18+NºAsuntos!E18)/NºAsuntos!G18," - ")</f>
        <v>2.5560735560735561</v>
      </c>
      <c r="AP18" s="876" t="str">
        <f t="shared" si="2"/>
        <v xml:space="preserve"> - </v>
      </c>
      <c r="AQ18" s="876">
        <f>IF(ISNUMBER((H18-W18+K18)/(F18)),(H18-W18+K18)/(F18)," - ")</f>
        <v>-0.72479819785995869</v>
      </c>
      <c r="AR18" s="877">
        <f>IF(ISNUMBER((Datos!P18-Datos!Q18)/(Datos!R18-Datos!P18+Datos!Q18)),(Datos!P18-Datos!Q18)/(Datos!R18-Datos!P18+Datos!Q18)," - ")</f>
        <v>4.5045045045045045E-3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5441</v>
      </c>
      <c r="G19" s="820">
        <f t="shared" si="13"/>
        <v>6006</v>
      </c>
      <c r="H19" s="819">
        <f t="shared" si="13"/>
        <v>0</v>
      </c>
      <c r="I19" s="821">
        <f t="shared" si="13"/>
        <v>0</v>
      </c>
      <c r="J19" s="821">
        <f t="shared" si="13"/>
        <v>0</v>
      </c>
      <c r="K19" s="880">
        <f t="shared" si="13"/>
        <v>0</v>
      </c>
      <c r="L19" s="821">
        <f t="shared" si="13"/>
        <v>2445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3897</v>
      </c>
      <c r="X19" s="820">
        <f t="shared" si="14"/>
        <v>2689</v>
      </c>
      <c r="Y19" s="827">
        <f t="shared" si="14"/>
        <v>6470</v>
      </c>
      <c r="Z19" s="827">
        <f t="shared" si="14"/>
        <v>0</v>
      </c>
      <c r="AA19" s="827">
        <f t="shared" si="14"/>
        <v>6157</v>
      </c>
      <c r="AB19" s="827">
        <f t="shared" si="14"/>
        <v>15654</v>
      </c>
      <c r="AC19" s="827">
        <f t="shared" si="14"/>
        <v>6766</v>
      </c>
      <c r="AD19" s="827">
        <f t="shared" si="14"/>
        <v>0</v>
      </c>
      <c r="AE19" s="829">
        <f t="shared" si="14"/>
        <v>0</v>
      </c>
      <c r="AF19" s="830">
        <f t="shared" si="14"/>
        <v>0</v>
      </c>
      <c r="AG19" s="831">
        <f t="shared" si="14"/>
        <v>0</v>
      </c>
      <c r="AH19" s="829">
        <f t="shared" si="14"/>
        <v>0</v>
      </c>
      <c r="AI19" s="819">
        <f t="shared" si="14"/>
        <v>1414</v>
      </c>
      <c r="AJ19" s="819">
        <f t="shared" si="14"/>
        <v>0</v>
      </c>
      <c r="AK19" s="829">
        <f t="shared" si="14"/>
        <v>0</v>
      </c>
      <c r="AL19" s="883">
        <f>IF(ISNUMBER(NºAsuntos!G19/NºAsuntos!E19),NºAsuntos!G19/NºAsuntos!E19," - ")</f>
        <v>1.0556438791732909</v>
      </c>
      <c r="AM19" s="884">
        <f>IF(ISNUMBER(((NºAsuntos!I19/NºAsuntos!G19)*11)/factor_trimestre),((NºAsuntos!I19/NºAsuntos!G19)*11)/factor_trimestre," - ")</f>
        <v>6.244386637458927</v>
      </c>
      <c r="AN19" s="884">
        <f>IF(ISNUMBER('Resol  Asuntos'!D19/NºAsuntos!G19),'Resol  Asuntos'!D19/NºAsuntos!G19," - ")</f>
        <v>0.19359255202628697</v>
      </c>
      <c r="AO19" s="885">
        <f>IF(ISNUMBER((NºAsuntos!C19+NºAsuntos!E19)/NºAsuntos!G19),(NºAsuntos!C19+NºAsuntos!E19)/NºAsuntos!G19," - ")</f>
        <v>3.0757119386637459</v>
      </c>
      <c r="AP19" s="886" t="str">
        <f t="shared" si="2"/>
        <v xml:space="preserve"> - </v>
      </c>
      <c r="AQ19" s="887">
        <f>IF(OR(ISNUMBER(FIND("01",Criterios!A8,1)),ISNUMBER(FIND("02",Criterios!A8,1)),ISNUMBER(FIND("03",Criterios!A8,1)),ISNUMBER(FIND("04",Criterios!A8,1))),(I19-W19+K19)/(F19-K19),(H19-W19+K19)/(F19-K19))</f>
        <v>-0.71622863444219809</v>
      </c>
      <c r="AR19" s="888">
        <f>IF(ISNUMBER((Datos!P19-Datos!Q19)/(Datos!R19-Datos!P19+Datos!Q19)),(Datos!P19-Datos!Q19)/(Datos!R19-Datos!P19+Datos!Q19)," - ")</f>
        <v>-1.5347842495911436E-2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2402.4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3.5746017649212027</v>
      </c>
      <c r="F21" s="251">
        <f>IF(ISNUMBER(STDEV(F8:F18)),STDEV(F8:F18),"-")</f>
        <v>3009.7269532855194</v>
      </c>
      <c r="G21" s="252">
        <f>IF(ISNUMBER(STDEV(G8:G18)),STDEV(G8:G18),"-")</f>
        <v>2927.7491012721703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2038.7537124429718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344.3302678146859</v>
      </c>
      <c r="AJ21" s="251">
        <f t="shared" si="18"/>
        <v>0</v>
      </c>
      <c r="AK21" s="253">
        <f t="shared" si="18"/>
        <v>0</v>
      </c>
      <c r="AL21" s="248">
        <f t="shared" si="18"/>
        <v>0.21195537315698212</v>
      </c>
      <c r="AM21" s="249">
        <f t="shared" si="18"/>
        <v>3.6930322433531533</v>
      </c>
      <c r="AN21" s="249">
        <f t="shared" si="18"/>
        <v>8.8089517411060567E-2</v>
      </c>
      <c r="AO21" s="250">
        <f t="shared" si="18"/>
        <v>1.2339015002810527</v>
      </c>
      <c r="AP21" s="290" t="str">
        <f t="shared" si="18"/>
        <v>-</v>
      </c>
      <c r="AQ21" s="291">
        <f t="shared" si="18"/>
        <v>0.28921284242912992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bL16wqwuhnvblQASjC2XHS3ox2yPLheomFZgCYCyrvaq5ZWB2TrpKY3qgHwhYXCEd5yiTji8a/4y2qOwORyNg==" saltValue="pDR8iDSl4glPsvTZN8Aj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MATARO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-0.1263803680981595</v>
      </c>
      <c r="I9" s="349">
        <f>IF(ISNUMBER((Tasas!C9-Datos!BE9)/Datos!BE9),(Tasas!C9-Datos!BE9)/Datos!BE9," - ")</f>
        <v>3.3665439092320705E-2</v>
      </c>
      <c r="J9" s="348">
        <f>IF(ISNUMBER((Tasas!D9-Datos!BF9)/Datos!BF9),(Tasas!D9-Datos!BF9)/Datos!BF9," - ")</f>
        <v>-0.40421101037971352</v>
      </c>
      <c r="K9" s="350">
        <f>IF(ISNUMBER((Tasas!E9-Datos!BG9)/Datos!BG9),(Tasas!E9-Datos!BG9)/Datos!BG9," - ")</f>
        <v>0.12508184266442654</v>
      </c>
      <c r="M9" t="e">
        <f>IF(Monitorios="SI",Datos!CE9,0)</f>
        <v>#REF!</v>
      </c>
      <c r="N9" t="e">
        <f>IF(Monitorios="SI",Datos!CF9,0)</f>
        <v>#REF!</v>
      </c>
      <c r="O9" t="e">
        <f>IF(Monitorios="SI",Datos!CG9,0)</f>
        <v>#REF!</v>
      </c>
      <c r="P9" t="e">
        <f>IF(Monitorios="SI",Datos!CH9,0)</f>
        <v>#REF!</v>
      </c>
      <c r="Q9">
        <f>IF(J_V="SI",0,Datos!AG9)</f>
        <v>94</v>
      </c>
      <c r="R9">
        <f>IF(J_V="SI",0,Datos!AH9)</f>
        <v>61</v>
      </c>
      <c r="S9">
        <f>IF(J_V="SI",0,Datos!AI9)</f>
        <v>65</v>
      </c>
      <c r="T9">
        <f>IF(J_V="SI",0,Datos!AJ9)</f>
        <v>90</v>
      </c>
    </row>
    <row r="10" spans="2:20" ht="14.25">
      <c r="B10" s="274" t="s">
        <v>246</v>
      </c>
      <c r="C10" s="7" t="str">
        <f>Datos!A10</f>
        <v>Jdos. Violencia contra la mujer/Secc Viol. TI.</v>
      </c>
      <c r="D10" s="351">
        <f>IF(ISNUMBER((Datos!I10-Datos!S10)/Datos!S10),(Datos!I10-Datos!S10)/Datos!S10," - ")</f>
        <v>0.1875</v>
      </c>
      <c r="E10" s="347">
        <f>IF(ISNUMBER((Datos!J10-Datos!T10)/Datos!T10),(Datos!J10-Datos!T10)/Datos!T10," - ")</f>
        <v>-0.38461538461538464</v>
      </c>
      <c r="F10" s="347">
        <f>IF(ISNUMBER((Datos!K10-Datos!U10)/Datos!U10),(Datos!K10-Datos!U10)/Datos!U10," - ")</f>
        <v>-0.35714285714285715</v>
      </c>
      <c r="G10" s="348">
        <f>IF(ISNUMBER((Datos!L10-Datos!V10)/Datos!V10),(Datos!L10-Datos!V10)/Datos!V10," - ")</f>
        <v>0.12380952380952381</v>
      </c>
      <c r="H10" s="229">
        <f>IF(ISNUMBER((Datos!M10-Datos!W10)/Datos!W10),(Datos!M10-Datos!W10)/Datos!W10," - ")</f>
        <v>1.6</v>
      </c>
      <c r="I10" s="349">
        <f>IF(ISNUMBER((Tasas!C10-Datos!BE10)/Datos!BE10),(Tasas!C10-Datos!BE10)/Datos!BE10," - ")</f>
        <v>0.74814814814814812</v>
      </c>
      <c r="J10" s="348">
        <f>IF(ISNUMBER((Tasas!D10-Datos!BF10)/Datos!BF10),(Tasas!D10-Datos!BF10)/Datos!BF10," - ")</f>
        <v>3.0444444444444443</v>
      </c>
      <c r="K10" s="350">
        <f>IF(ISNUMBER((Tasas!E10-Datos!BG10)/Datos!BG10),(Tasas!E10-Datos!BG10)/Datos!BG10," - ")</f>
        <v>0.48792270531400961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-0.27659574468085107</v>
      </c>
      <c r="I11" s="349">
        <f>IF(ISNUMBER((Tasas!C11-Datos!BE11)/Datos!BE11),(Tasas!C11-Datos!BE11)/Datos!BE11," - ")</f>
        <v>0.19407980941036332</v>
      </c>
      <c r="J11" s="348">
        <f>IF(ISNUMBER((Tasas!D11-Datos!BF11)/Datos!BF11),(Tasas!D11-Datos!BF11)/Datos!BF11," - ")</f>
        <v>-0.26506321307431385</v>
      </c>
      <c r="K11" s="350">
        <f>IF(ISNUMBER((Tasas!E11-Datos!BG11)/Datos!BG11),(Tasas!E11-Datos!BG11)/Datos!BG11," - ")</f>
        <v>0.11998232023635039</v>
      </c>
      <c r="M11" t="e">
        <f>IF(Monitorios="SI",Datos!CE11,0)</f>
        <v>#REF!</v>
      </c>
      <c r="N11" t="e">
        <f>IF(Monitorios="SI",Datos!CF11,0)</f>
        <v>#REF!</v>
      </c>
      <c r="O11" t="e">
        <f>IF(Monitorios="SI",Datos!CG11,0)</f>
        <v>#REF!</v>
      </c>
      <c r="P11" t="e">
        <f>IF(Monitorios="SI",Datos!CH11,0)</f>
        <v>#REF!</v>
      </c>
      <c r="Q11">
        <f>IF(J_V="SI",0,Datos!AG11)</f>
        <v>56</v>
      </c>
      <c r="R11">
        <f>IF(J_V="SI",0,Datos!AH11)</f>
        <v>130</v>
      </c>
      <c r="S11">
        <f>IF(J_V="SI",0,Datos!AI11)</f>
        <v>142</v>
      </c>
      <c r="T11">
        <f>IF(J_V="SI",0,Datos!AJ11)</f>
        <v>44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-0.15165876777251186</v>
      </c>
      <c r="I13" s="356">
        <f>IF(ISNUMBER((Tasas!C13-Datos!BE13)/Datos!BE13),(Tasas!C13-Datos!BE13)/Datos!BE13," - ")</f>
        <v>6.5770664812701524E-2</v>
      </c>
      <c r="J13" s="354">
        <f>IF(ISNUMBER((Tasas!D13-Datos!BF13)/Datos!BF13),(Tasas!D13-Datos!BF13)/Datos!BF13," - ")</f>
        <v>-0.37131223581210515</v>
      </c>
      <c r="K13" s="357">
        <f>IF(ISNUMBER((Tasas!E13-Datos!BG13)/Datos!BG13),(Tasas!E13-Datos!BG13)/Datos!BG13," - ")</f>
        <v>0.13257145120345812</v>
      </c>
      <c r="M13" t="e">
        <f>IF(Monitorios="SI",Datos!CE13,0)</f>
        <v>#REF!</v>
      </c>
      <c r="N13" t="e">
        <f>IF(Monitorios="SI",Datos!CF13,0)</f>
        <v>#REF!</v>
      </c>
      <c r="O13" t="e">
        <f>IF(Monitorios="SI",Datos!CG13,0)</f>
        <v>#REF!</v>
      </c>
      <c r="P13" t="e">
        <f>IF(Monitorios="SI",Datos!CH13,0)</f>
        <v>#REF!</v>
      </c>
      <c r="Q13">
        <f>IF(J_V="SI",0,Datos!AG13)</f>
        <v>150</v>
      </c>
      <c r="R13">
        <f>IF(J_V="SI",0,Datos!AH13)</f>
        <v>191</v>
      </c>
      <c r="S13">
        <f>IF(J_V="SI",0,Datos!AI13)</f>
        <v>207</v>
      </c>
      <c r="T13">
        <f>IF(J_V="SI",0,Datos!AJ13)</f>
        <v>134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0.10241465445462115</v>
      </c>
      <c r="E15" s="347">
        <f>IF(ISNUMBER(
   IF(D_I="SI",(Datos!J15-Datos!T15)/Datos!T15,(Datos!J15+Datos!AD15-(Datos!T15+Datos!AL15))/(Datos!T15+Datos!AL15))
     ),IF(D_I="SI",(Datos!J15-Datos!T15)/Datos!T15,(Datos!J15+Datos!AD15-(Datos!T15+Datos!AL15))/(Datos!T15+Datos!AL15))," - ")</f>
        <v>0.27077656675749318</v>
      </c>
      <c r="F15" s="347">
        <f>IF(ISNUMBER(
   IF(D_I="SI",(Datos!K15-Datos!U15)/Datos!U15,(Datos!K15+Datos!AE15-(Datos!U15+Datos!AM15))/(Datos!U15+Datos!AM15))
     ),IF(D_I="SI",(Datos!K15-Datos!U15)/Datos!U15,(Datos!K15+Datos!AE15-(Datos!U15+Datos!AM15))/(Datos!U15+Datos!AM15))," - ")</f>
        <v>0.33752695902228613</v>
      </c>
      <c r="G15" s="348">
        <f>IF(ISNUMBER(
   IF(D_I="SI",(Datos!L15-Datos!V15)/Datos!V15,(Datos!L15+Datos!AF15-(Datos!V15+Datos!AN15))/(Datos!V15+Datos!AN15))
     ),IF(D_I="SI",(Datos!L15-Datos!V15)/Datos!V15,(Datos!L15+Datos!AF15-(Datos!V15+Datos!AN15))/(Datos!V15+Datos!AN15))," - ")</f>
        <v>6.7400000000000002E-2</v>
      </c>
      <c r="H15" s="229">
        <f>IF(ISNUMBER((Datos!M15-Datos!W15)/Datos!W15),(Datos!M15-Datos!W15)/Datos!W15," - ")</f>
        <v>0.21515892420537897</v>
      </c>
      <c r="I15" s="349">
        <f>IF(ISNUMBER((Tasas!C15-Datos!BE15)/Datos!BE15),(Tasas!C15-Datos!BE15)/Datos!BE15," - ")</f>
        <v>-0.20196001074979841</v>
      </c>
      <c r="J15" s="348">
        <f>IF(ISNUMBER((Tasas!D15-Datos!BF15)/Datos!BF15),(Tasas!D15-Datos!BF15)/Datos!BF15," - ")</f>
        <v>-9.1488275426131721E-2</v>
      </c>
      <c r="K15" s="350">
        <f>IF(ISNUMBER((Tasas!E15-Datos!BG15)/Datos!BG15),(Tasas!E15-Datos!BG15)/Datos!BG15," - ")</f>
        <v>-0.12803322437704298</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0.37327188940092165</v>
      </c>
      <c r="E17" s="347">
        <f>IF(ISNUMBER(
   IF(D_I="SI",(Datos!J17-Datos!T17)/Datos!T17,(Datos!J17+Datos!AD17-(Datos!T17+Datos!AL17))/(Datos!T17+Datos!AL17))
     ),IF(D_I="SI",(Datos!J17-Datos!T17)/Datos!T17,(Datos!J17+Datos!AD17-(Datos!T17+Datos!AL17))/(Datos!T17+Datos!AL17))," - ")</f>
        <v>3.3613445378151259E-2</v>
      </c>
      <c r="F17" s="347">
        <f>IF(ISNUMBER(
   IF(D_I="SI",(Datos!K17-Datos!U17)/Datos!U17,(Datos!K17+Datos!AE17-(Datos!U17+Datos!AM17))/(Datos!U17+Datos!AM17))
     ),IF(D_I="SI",(Datos!K17-Datos!U17)/Datos!U17,(Datos!K17+Datos!AE17-(Datos!U17+Datos!AM17))/(Datos!U17+Datos!AM17))," - ")</f>
        <v>-0.31707317073170732</v>
      </c>
      <c r="G17" s="348">
        <f>IF(ISNUMBER(
   IF(D_I="SI",(Datos!L17-Datos!V17)/Datos!V17,(Datos!L17+Datos!AF17-(Datos!V17+Datos!AN17))/(Datos!V17+Datos!AN17))
     ),IF(D_I="SI",(Datos!L17-Datos!V17)/Datos!V17,(Datos!L17+Datos!AF17-(Datos!V17+Datos!AN17))/(Datos!V17+Datos!AN17))," - ")</f>
        <v>0.50321199143468953</v>
      </c>
      <c r="H17" s="229">
        <f>IF(ISNUMBER((Datos!M17-Datos!W17)/Datos!W17),(Datos!M17-Datos!W17)/Datos!W17," - ")</f>
        <v>0.83333333333333337</v>
      </c>
      <c r="I17" s="349">
        <f>IF(ISNUMBER((Tasas!C17-Datos!BE17)/Datos!BE17),(Tasas!C17-Datos!BE17)/Datos!BE17," - ")</f>
        <v>1.2011318446007955</v>
      </c>
      <c r="J17" s="348">
        <f>IF(ISNUMBER((Tasas!D17-Datos!BF17)/Datos!BF17),(Tasas!D17-Datos!BF17)/Datos!BF17," - ")</f>
        <v>1.6845238095238095</v>
      </c>
      <c r="K17" s="350">
        <f>IF(ISNUMBER((Tasas!E17-Datos!BG17)/Datos!BG17),(Tasas!E17-Datos!BG17)/Datos!BG17," - ")</f>
        <v>0.83471513605442182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0.12485681557846506</v>
      </c>
      <c r="E18" s="353">
        <f>IF(ISNUMBER(
   IF(D_I="SI",(Datos!J18-Datos!T18)/Datos!T18,(Datos!J18+Datos!AD18-(Datos!T18+Datos!AL18))/(Datos!T18+Datos!AL18))
     ),IF(D_I="SI",(Datos!J18-Datos!T18)/Datos!T18,(Datos!J18+Datos!AD18-(Datos!T18+Datos!AL18))/(Datos!T18+Datos!AL18))," - ")</f>
        <v>0.25299306868304977</v>
      </c>
      <c r="F18" s="353">
        <f>IF(ISNUMBER(
   IF(D_I="SI",(Datos!K18-Datos!U18)/Datos!U18,(Datos!K18+Datos!AE18-(Datos!U18+Datos!AM18))/(Datos!U18+Datos!AM18))
     ),IF(D_I="SI",(Datos!K18-Datos!U18)/Datos!U18,(Datos!K18+Datos!AE18-(Datos!U18+Datos!AM18))/(Datos!U18+Datos!AM18))," - ")</f>
        <v>0.29260127217944426</v>
      </c>
      <c r="G18" s="354">
        <f>IF(ISNUMBER(
   IF(D_I="SI",(Datos!L18-Datos!V18)/Datos!V18,(Datos!L18+Datos!AF18-(Datos!V18+Datos!AN18))/(Datos!V18+Datos!AN18))
     ),IF(D_I="SI",(Datos!L18-Datos!V18)/Datos!V18,(Datos!L18+Datos!AF18-(Datos!V18+Datos!AN18))/(Datos!V18+Datos!AN18))," - ")</f>
        <v>0.10462776659959759</v>
      </c>
      <c r="H18" s="355">
        <f>IF(ISNUMBER((Datos!M18-Datos!W18)/Datos!W18),(Datos!M18-Datos!W18)/Datos!W18," - ")</f>
        <v>0.23277909738717339</v>
      </c>
      <c r="I18" s="356">
        <f>IF(ISNUMBER((Tasas!C18-Datos!BE18)/Datos!BE18),(Tasas!C18-Datos!BE18)/Datos!BE18," - ")</f>
        <v>-0.14542265246490602</v>
      </c>
      <c r="J18" s="354">
        <f>IF(ISNUMBER((Tasas!D18-Datos!BF18)/Datos!BF18),(Tasas!D18-Datos!BF18)/Datos!BF18," - ")</f>
        <v>-4.6280454831523668E-2</v>
      </c>
      <c r="K18" s="357">
        <f>IF(ISNUMBER((Tasas!E18-Datos!BG18)/Datos!BG18),(Tasas!E18-Datos!BG18)/Datos!BG18," - ")</f>
        <v>-9.2369030909211544E-2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0.13243006993006992</v>
      </c>
      <c r="E19" s="362">
        <f>IF(ISNUMBER(
   IF(J_V="SI",(Datos!J19-Datos!T19)/Datos!T19,(Datos!J19+Datos!Z19-(Datos!T19+Datos!AH19))/(Datos!T19+Datos!AH19))
     ),IF(J_V="SI",(Datos!J19-Datos!T19)/Datos!T19,(Datos!J19+Datos!Z19-(Datos!T19+Datos!AH19))/(Datos!T19+Datos!AH19))," - ")</f>
        <v>-1.2135922330097087E-2</v>
      </c>
      <c r="F19" s="362">
        <f>IF(ISNUMBER(
   IF(J_V="SI",(Datos!K19-Datos!U19)/Datos!U19,(Datos!K19+Datos!AA19-(Datos!U19+Datos!AI19))/(Datos!U19+Datos!AI19))
     ),IF(J_V="SI",(Datos!K19-Datos!U19)/Datos!U19,(Datos!K19+Datos!AA19-(Datos!U19+Datos!AI19))/(Datos!U19+Datos!AI19))," - ")</f>
        <v>7.3959711807087186E-2</v>
      </c>
      <c r="G19" s="363">
        <f>IF(ISNUMBER(
   IF(J_V="SI",(Datos!L19-Datos!V19)/Datos!V19,(Datos!L19+Datos!AB19-(Datos!V19+Datos!AJ19))/(Datos!V19+Datos!AJ19))
     ),IF(J_V="SI",(Datos!L19-Datos!V19)/Datos!V19,(Datos!L19+Datos!AB19-(Datos!V19+Datos!AJ19))/(Datos!V19+Datos!AJ19))," - ")</f>
        <v>1.4074172892209177E-2</v>
      </c>
      <c r="H19" s="364">
        <f>IF(ISNUMBER((Datos!M19-Datos!W19)/Datos!W19),(Datos!M19-Datos!W19)/Datos!W19," - ")</f>
        <v>-4.2005420054200542E-2</v>
      </c>
      <c r="I19" s="361">
        <f>IF(ISNUMBER((Tasas!C19-Datos!BE19)/Datos!BE19),(Tasas!C19-Datos!BE19)/Datos!BE19," - ")</f>
        <v>-5.5761438959486126E-2</v>
      </c>
      <c r="J19" s="362">
        <f>IF(ISNUMBER((Tasas!D19-Datos!BF19)/Datos!BF19),(Tasas!D19-Datos!BF19)/Datos!BF19," - ")</f>
        <v>-0.34102955639100208</v>
      </c>
      <c r="K19" s="363">
        <f>IF(ISNUMBER((Tasas!E19-Datos!BG19)/Datos!BG19),(Tasas!E19-Datos!BG19)/Datos!BG19," - ")</f>
        <v>8.9676295028041954E-3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0.12289976291457867</v>
      </c>
      <c r="E21" s="277">
        <f t="shared" si="1"/>
        <v>0.3049164533041917</v>
      </c>
      <c r="F21" s="277">
        <f t="shared" si="1"/>
        <v>0.37733293658696015</v>
      </c>
      <c r="G21" s="278">
        <f t="shared" si="1"/>
        <v>0.20365076098511509</v>
      </c>
      <c r="H21" s="284">
        <f t="shared" si="1"/>
        <v>0.67045778994210847</v>
      </c>
      <c r="I21" s="276">
        <f t="shared" si="1"/>
        <v>0.51547352514194578</v>
      </c>
      <c r="J21" s="277">
        <f t="shared" si="1"/>
        <v>1.3346231197385954</v>
      </c>
      <c r="K21" s="278">
        <f t="shared" si="1"/>
        <v>0.34022028628022166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sZv2B3jGVRqQpuT8bl393LFtQzEg0g+wrMVqJB7yH4necJpXtJp5DMIQHjWIBS3xXdVDFRSPSJo4j0njXSgXQ==" saltValue="of/MSOQrA9GboN/CX2h14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